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<sst xmlns="http://schemas.openxmlformats.org/spreadsheetml/2006/main" count="119" uniqueCount="106">
  <si>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Ferguson Enterprises Inc. (FERG)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</si>
  <si>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</si>
  <si>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</si>
  <si>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</si>
  <si>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</si>
  <si>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</si>
  <si>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</si>
  <si>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</si>
  <si>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</si>
  <si>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</si>
  <si>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</si>
  <si>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</si>
  <si>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</si>
  <si>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</si>
  <si>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</si>
  <si>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</si>
  <si>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</si>
  <si>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</si>
  <si>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</si>
  <si>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</si>
  <si>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</si>
  <si>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</si>
  <si>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</si>
  <si>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</si>
  <si>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14.1x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</si>
  <si>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</si>
  <si>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</si>
  <si>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</si>
  <si>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</si>
  <si>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</si>
  <si>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</si>
  <si>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</si>
  <si>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</si>
  <si>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</si>
  <si>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</si>
  <si>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</si>
  <si>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</si>
  <si>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</si>
  <si>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</si>
  <si>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</si>
  <si>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</si>
  <si>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</si>
  <si>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</si>
  <si>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</si>
  <si>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</si>
  <si>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</si>
  <si>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</si>
  <si>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</si>
  <si>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</si>
  <si>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</si>
  <si>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</si>
  <si>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</si>
  <si>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</si>
  <si>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</si>
  <si>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</si>
  <si>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</si>
  <si>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</si>
  <si>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</si>
  <si>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</si>
  <si>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</si>
  <si>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</si>
  <si>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</si>
  <si>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</si>
  <si>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</si>
  <si>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</si>
  <si>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</si>
  <si>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</si>
  <si>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</si>
  <si>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</si>
  <si>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</si>
  <si>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</si>
  <si>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</si>
  <si>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</si>
  <si>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</si>
  <si>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</si>
  <si>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</si>
  <si>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</si>
  <si>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</si>
  <si>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</si>
  <si>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</si>
  <si>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</si>
  <si>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</si>
  <si>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</si>
  <si>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</si>
  <si>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</si>
  <si>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</si>
  <si>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2025-07-31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</si>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</sst>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0.07572464176581506</v>
      </c>
    </row>
    <row r="7" spans="1:2" x14ac:dyDescent="0.25">
      <c r="A7" t="s">
        <v>4</v>
      </c>
      <c r="B7" s="5">
        <v>0.09252451807077143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0.011190568667517069</v>
      </c>
    </row>
    <row r="10" spans="1:3" x14ac:dyDescent="0.25">
      <c r="A10" t="s">
        <v>7</v>
      </c>
      <c r="B10" s="5">
        <v>0.011862747422550534</v>
      </c>
      <c r="C10" s="6" t="s">
        <v>8</v>
      </c>
    </row>
    <row r="11" spans="1:2" x14ac:dyDescent="0.25">
      <c r="A11" t="s">
        <v>9</v>
      </c>
      <c r="B11" s="5">
        <v>0.14979352572686466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16.824221834586467</v>
      </c>
    </row>
    <row r="14" spans="1:3" x14ac:dyDescent="0.25">
      <c r="A14" t="s">
        <v>12</v>
      </c>
      <c r="B14" s="5">
        <v>0.23588541022916953</v>
      </c>
      <c r="C14" s="6" t="s">
        <v>13</v>
      </c>
    </row>
    <row r="15" spans="1:3" x14ac:dyDescent="0.25">
      <c r="A15" t="s">
        <v>14</v>
      </c>
      <c r="B15" s="5">
        <v>0.0068105227473381795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1.08107</v>
      </c>
      <c r="C19" s="6" t="s">
        <v>21</v>
      </c>
    </row>
    <row r="20" spans="1:2" x14ac:dyDescent="0.25">
      <c r="A20" t="s">
        <v>22</v>
      </c>
      <c r="B20" s="9">
        <f>B17+B19*B18</f>
        <v>0.094669261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46173294592</v>
      </c>
    </row>
    <row r="23" spans="1:2" x14ac:dyDescent="0.25">
      <c r="A23" t="s">
        <v>26</v>
      </c>
      <c r="B23" s="10">
        <v>5966000000</v>
      </c>
    </row>
    <row r="24" spans="1:2" x14ac:dyDescent="0.25">
      <c r="A24" t="s">
        <v>27</v>
      </c>
      <c r="B24" s="9">
        <f>B22/(B22+B23)</f>
        <v>0.8855757438476086</v>
      </c>
    </row>
    <row r="25" spans="1:2" x14ac:dyDescent="0.25">
      <c r="A25" t="s">
        <v>28</v>
      </c>
      <c r="B25" s="9">
        <f>1-B24</f>
        <v>0.11442425615239138</v>
      </c>
    </row>
    <row r="26" spans="1:2" x14ac:dyDescent="0.25">
      <c r="A26" t="s">
        <v>29</v>
      </c>
      <c r="B26" s="11">
        <f>B24*B20+B25*B21*(1-B8)</f>
        <v>0.08862232112493743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30762000000</v>
      </c>
      <c r="C29" s="6" t="s">
        <v>32</v>
      </c>
    </row>
    <row r="30" spans="1:2" x14ac:dyDescent="0.25">
      <c r="A30" t="s">
        <v>33</v>
      </c>
      <c r="B30" s="10">
        <v>5292000000</v>
      </c>
    </row>
    <row r="31" spans="1:2" x14ac:dyDescent="0.25">
      <c r="A31" t="s">
        <v>34</v>
      </c>
      <c r="B31" s="12">
        <v>199200000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0.07572464176581506</v>
      </c>
      <c r="C5" s="5">
        <v>0.0732861780932097</v>
      </c>
      <c r="D5" s="5">
        <v>0.06725040583155849</v>
      </c>
      <c r="E5" s="5">
        <v>0.06121463356990727</v>
      </c>
      <c r="F5" s="5">
        <v>0.05517886130825606</v>
      </c>
      <c r="G5" s="5">
        <v>0.049143089046604846</v>
      </c>
      <c r="H5" s="5">
        <v>0.043107316784953637</v>
      </c>
      <c r="I5" s="5">
        <v>0.03707154452330243</v>
      </c>
      <c r="J5" s="5">
        <v>0.03103577226165121</v>
      </c>
      <c r="K5" s="5">
        <v>0.025</v>
      </c>
    </row>
    <row r="6" spans="1:11" x14ac:dyDescent="0.25">
      <c r="A6" t="s">
        <v>50</v>
      </c>
      <c r="B6" s="18">
        <f>Assumptions!B29*(1+B5)</f>
        <v>33091441430.000004</v>
      </c>
      <c r="C6" s="18">
        <f>B6*(1+C5)</f>
        <v>35516586700</v>
      </c>
      <c r="D6" s="18">
        <f>C6*(1+D5)</f>
        <v>37905091569.32673</v>
      </c>
      <c r="E6" s="18">
        <f>D6*(1+E5)</f>
        <v>40225437860.17685</v>
      </c>
      <c r="F6" s="18">
        <f>E6*(1+F5)</f>
        <v>42445031716.927414</v>
      </c>
      <c r="G6" s="18">
        <f>F6*(1+G5)</f>
        <v>44530911690.178345</v>
      </c>
      <c r="H6" s="18">
        <f>G6*(1+H5)</f>
        <v>46450519807.129654</v>
      </c>
      <c r="I6" s="18">
        <f>H6*(1+I5)</f>
        <v>48172512320.29021</v>
      </c>
      <c r="J6" s="18">
        <f>I6*(1+J5)</f>
        <v>49667583441.93432</v>
      </c>
      <c r="K6" s="18">
        <f>J6*(1+K5)</f>
        <v>50909273027.98267</v>
      </c>
    </row>
    <row r="7" spans="1:11" x14ac:dyDescent="0.25">
      <c r="A7" t="s">
        <v>4</v>
      </c>
      <c r="B7" s="9">
        <f>Assumptions!B7</f>
        <v>0.09252451807077143</v>
      </c>
      <c r="C7" s="9">
        <f>Assumptions!B7</f>
        <v>0.09252451807077143</v>
      </c>
      <c r="D7" s="9">
        <f>Assumptions!B7</f>
        <v>0.09252451807077143</v>
      </c>
      <c r="E7" s="9">
        <f>Assumptions!B7</f>
        <v>0.09252451807077143</v>
      </c>
      <c r="F7" s="9">
        <f>Assumptions!B7</f>
        <v>0.09252451807077143</v>
      </c>
      <c r="G7" s="9">
        <f>Assumptions!B7</f>
        <v>0.09252451807077143</v>
      </c>
      <c r="H7" s="9">
        <f>Assumptions!B7</f>
        <v>0.09252451807077143</v>
      </c>
      <c r="I7" s="9">
        <f>Assumptions!B7</f>
        <v>0.09252451807077143</v>
      </c>
      <c r="J7" s="9">
        <f>Assumptions!B7</f>
        <v>0.09252451807077143</v>
      </c>
      <c r="K7" s="9">
        <f>Assumptions!B7</f>
        <v>0.09252451807077143</v>
      </c>
    </row>
    <row r="8" spans="1:11" x14ac:dyDescent="0.25">
      <c r="A8" t="s">
        <v>51</v>
      </c>
      <c r="B8" s="18">
        <f>B6*B7</f>
        <v>3061769670.57791</v>
      </c>
      <c r="C8" s="18">
        <f>C6*C7</f>
        <v>3286155067.93627</v>
      </c>
      <c r="D8" s="18">
        <f>D6*D7</f>
        <v>3507150329.880417</v>
      </c>
      <c r="E8" s="18">
        <f>E6*E7</f>
        <v>3721839252.198626</v>
      </c>
      <c r="F8" s="18">
        <f>F6*F7</f>
        <v>3927206104.107317</v>
      </c>
      <c r="G8" s="18">
        <f>G6*G7</f>
        <v>4120201143.385833</v>
      </c>
      <c r="H8" s="18">
        <f>H6*H7</f>
        <v>4297811959.291494</v>
      </c>
      <c r="I8" s="18">
        <f>I6*I7</f>
        <v>4457138486.6931505</v>
      </c>
      <c r="J8" s="18">
        <f>J6*J7</f>
        <v>4595469221.7048</v>
      </c>
      <c r="K8" s="18">
        <f>K6*K7</f>
        <v>4710355952.247419</v>
      </c>
    </row>
    <row r="9" spans="1:11" x14ac:dyDescent="0.25">
      <c r="A9" t="s">
        <v>52</v>
      </c>
      <c r="B9" s="18">
        <f>B8*(1-Assumptions!B8)</f>
        <v>2418798039.756549</v>
      </c>
      <c r="C9" s="18">
        <f>C8*(1-Assumptions!B8)</f>
        <v>2596062503.6696534</v>
      </c>
      <c r="D9" s="18">
        <f>D8*(1-Assumptions!B8)</f>
        <v>2770648760.6055293</v>
      </c>
      <c r="E9" s="18">
        <f>E8*(1-Assumptions!B8)</f>
        <v>2940253009.2369146</v>
      </c>
      <c r="F9" s="18">
        <f>F8*(1-Assumptions!B8)</f>
        <v>3102492822.2447805</v>
      </c>
      <c r="G9" s="18">
        <f>G8*(1-Assumptions!B8)</f>
        <v>3254958903.274808</v>
      </c>
      <c r="H9" s="18">
        <f>H8*(1-Assumptions!B8)</f>
        <v>3395271447.8402805</v>
      </c>
      <c r="I9" s="18">
        <f>I8*(1-Assumptions!B8)</f>
        <v>3521139404.487589</v>
      </c>
      <c r="J9" s="18">
        <f>J8*(1-Assumptions!B8)</f>
        <v>3630420685.146792</v>
      </c>
      <c r="K9" s="18">
        <f>K8*(1-Assumptions!B8)</f>
        <v>3721181202.2754617</v>
      </c>
    </row>
    <row r="10" spans="1:11" x14ac:dyDescent="0.25">
      <c r="A10" t="s">
        <v>53</v>
      </c>
      <c r="B10" s="18">
        <f>B6*Assumptions!B9</f>
        <v>370312047.6295343</v>
      </c>
      <c r="C10" s="18">
        <f>C6*Assumptions!B9</f>
        <v>397450802.30217344</v>
      </c>
      <c r="D10" s="18">
        <f>D6*Assumptions!B9</f>
        <v>424179530.0550731</v>
      </c>
      <c r="E10" s="18">
        <f>E6*Assumptions!B9</f>
        <v>450145524.5552499</v>
      </c>
      <c r="F10" s="18">
        <f>F6*Assumptions!B9</f>
        <v>474984042.0232161</v>
      </c>
      <c r="G10" s="18">
        <f>G6*Assumptions!B9</f>
        <v>498326225.09607935</v>
      </c>
      <c r="H10" s="18">
        <f>H6*Assumptions!B9</f>
        <v>519807731.54354614</v>
      </c>
      <c r="I10" s="18">
        <f>I6*Assumptions!B9</f>
        <v>539077807.0070195</v>
      </c>
      <c r="J10" s="18">
        <f>J6*Assumptions!B9</f>
        <v>555808503.0565997</v>
      </c>
      <c r="K10" s="18">
        <f>K6*Assumptions!B9</f>
        <v>569703715.6330147</v>
      </c>
    </row>
    <row r="11" spans="1:11" x14ac:dyDescent="0.25">
      <c r="A11" t="s">
        <v>54</v>
      </c>
      <c r="B11" s="18">
        <f>-B6*B19</f>
        <v>-392555411.5322145</v>
      </c>
      <c r="C11" s="18">
        <f>-C6*C19</f>
        <v>-433405117.8833024</v>
      </c>
      <c r="D11" s="18">
        <f>-D6*D19</f>
        <v>-475445048.5852851</v>
      </c>
      <c r="E11" s="18">
        <f>-E6*E19</f>
        <v>-518231759.8772004</v>
      </c>
      <c r="F11" s="18">
        <f>-F6*F19</f>
        <v>-561264700.8413117</v>
      </c>
      <c r="G11" s="18">
        <f>-G6*G19</f>
        <v>-603993988.0477182</v>
      </c>
      <c r="H11" s="18">
        <f>-H6*H19</f>
        <v>-645830501.0484064</v>
      </c>
      <c r="I11" s="18">
        <f>-I6*I19</f>
        <v>-686158116.698733</v>
      </c>
      <c r="J11" s="18">
        <f>-J6*J19</f>
        <v>-724347787.4989294</v>
      </c>
      <c r="K11" s="18">
        <f>-K6*K19</f>
        <v>-759773061.5351251</v>
      </c>
    </row>
    <row r="12" spans="1:11" x14ac:dyDescent="0.25">
      <c r="A12" t="s">
        <v>55</v>
      </c>
      <c r="B12" s="18">
        <f>-(B6-Assumptions!B29)*Assumptions!B11</f>
        <v>-348935244.77392995</v>
      </c>
      <c r="C12" s="18">
        <f>-(C6-B6)*Assumptions!B11</f>
        <v>-363271060.3931286</v>
      </c>
      <c r="D12" s="18">
        <f>-(D6-C6)*Assumptions!B11</f>
        <v>-357782565.59223485</v>
      </c>
      <c r="E12" s="18">
        <f>-(E6-D6)*Assumptions!B11</f>
        <v>-347572851.8136925</v>
      </c>
      <c r="F12" s="18">
        <f>-(F6-E6)*Assumptions!B11</f>
        <v>-332480789.48435646</v>
      </c>
      <c r="G12" s="18">
        <f>-(G6-F6)*Assumptions!B11</f>
        <v>-312451315.43631506</v>
      </c>
      <c r="H12" s="18">
        <f>-(H6-G6)*Assumptions!B11</f>
        <v>-287544867.85204417</v>
      </c>
      <c r="I12" s="18">
        <f>-(I6-H6)*Assumptions!B11</f>
        <v>-257943329.82158363</v>
      </c>
      <c r="J12" s="18">
        <f>-(J6-I6)*Assumptions!B11</f>
        <v>-223951974.52348965</v>
      </c>
      <c r="K12" s="18">
        <f>-(K6-J6)*Assumptions!B11</f>
        <v>-185997060.9525142</v>
      </c>
    </row>
    <row r="13" spans="1:11" x14ac:dyDescent="0.25">
      <c r="A13" s="19" t="s">
        <v>56</v>
      </c>
      <c r="B13" s="20">
        <f>B9+B10+B11+B12</f>
        <v>2047619431.0799384</v>
      </c>
      <c r="C13" s="20">
        <f>C9+C10+C11+C12</f>
        <v>2196837127.6953964</v>
      </c>
      <c r="D13" s="20">
        <f>D9+D10+D11+D12</f>
        <v>2361600676.483083</v>
      </c>
      <c r="E13" s="20">
        <f>E9+E10+E11+E12</f>
        <v>2524593922.1012716</v>
      </c>
      <c r="F13" s="20">
        <f>F9+F10+F11+F12</f>
        <v>2683731373.942329</v>
      </c>
      <c r="G13" s="20">
        <f>G9+G10+G11+G12</f>
        <v>2836839824.886854</v>
      </c>
      <c r="H13" s="20">
        <f>H9+H10+H11+H12</f>
        <v>2981703810.4833765</v>
      </c>
      <c r="I13" s="20">
        <f>I9+I10+I11+I12</f>
        <v>3116115764.974292</v>
      </c>
      <c r="J13" s="20">
        <f>J9+J10+J11+J12</f>
        <v>3237929426.1809726</v>
      </c>
      <c r="K13" s="20">
        <f>K9+K10+K11+K12</f>
        <v>3345114795.420837</v>
      </c>
    </row>
    <row r="14" spans="1:11" x14ac:dyDescent="0.25">
      <c r="A14" t="s">
        <v>57</v>
      </c>
      <c r="B14" s="21">
        <f>1/(1+Assumptions!$B$26)^(1-0.5*Assumptions!$B$32)</f>
        <v>0.9584321701952264</v>
      </c>
      <c r="C14" s="21">
        <f>1/(1+Assumptions!$B$26)^(2-0.5*Assumptions!$B$32)</f>
        <v>0.8804083396019494</v>
      </c>
      <c r="D14" s="21">
        <f>1/(1+Assumptions!$B$26)^(3-0.5*Assumptions!$B$32)</f>
        <v>0.808736255464771</v>
      </c>
      <c r="E14" s="21">
        <f>1/(1+Assumptions!$B$26)^(4-0.5*Assumptions!$B$32)</f>
        <v>0.7428988362364793</v>
      </c>
      <c r="F14" s="21">
        <f>1/(1+Assumptions!$B$26)^(5-0.5*Assumptions!$B$32)</f>
        <v>0.6824210948281846</v>
      </c>
      <c r="G14" s="21">
        <f>1/(1+Assumptions!$B$26)^(6-0.5*Assumptions!$B$32)</f>
        <v>0.626866711793121</v>
      </c>
      <c r="H14" s="21">
        <f>1/(1+Assumptions!$B$26)^(7-0.5*Assumptions!$B$32)</f>
        <v>0.5758348874799322</v>
      </c>
      <c r="I14" s="21">
        <f>1/(1+Assumptions!$B$26)^(8-0.5*Assumptions!$B$32)</f>
        <v>0.5289574504451535</v>
      </c>
      <c r="J14" s="21">
        <f>1/(1+Assumptions!$B$26)^(9-0.5*Assumptions!$B$32)</f>
        <v>0.48589620126340116</v>
      </c>
      <c r="K14" s="21">
        <f>1/(1+Assumptions!$B$26)^(10-0.5*Assumptions!$B$32)</f>
        <v>0.4463404725720634</v>
      </c>
    </row>
    <row r="15" spans="1:11" x14ac:dyDescent="0.25">
      <c r="A15" s="19" t="s">
        <v>58</v>
      </c>
      <c r="B15" s="20">
        <f>B13*B14</f>
        <v>1962504335.0638602</v>
      </c>
      <c r="C15" s="20">
        <f>C13*C14</f>
        <v>1934113727.9702196</v>
      </c>
      <c r="D15" s="20">
        <f>D13*D14</f>
        <v>1909912088.0019984</v>
      </c>
      <c r="E15" s="20">
        <f>E13*E14</f>
        <v>1875517886.6987238</v>
      </c>
      <c r="F15" s="20">
        <f>F13*F14</f>
        <v>1831434902.4304721</v>
      </c>
      <c r="G15" s="20">
        <f>G13*G14</f>
        <v>1778320452.9105957</v>
      </c>
      <c r="H15" s="20">
        <f>H13*H14</f>
        <v>1716969078.2081802</v>
      </c>
      <c r="I15" s="20">
        <f>I13*I14</f>
        <v>1648292650.3327506</v>
      </c>
      <c r="J15" s="20">
        <f>J13*J14</f>
        <v>1573297608.1403189</v>
      </c>
      <c r="K15" s="20">
        <f>K13*K14</f>
        <v>1493060118.5959375</v>
      </c>
    </row>
    <row r="17" spans="1:2" x14ac:dyDescent="0.25">
      <c r="A17" s="22" t="s">
        <v>59</v>
      </c>
      <c r="B17" s="23">
        <f>SUM(B15:K15)</f>
        <v>17723422848.353054</v>
      </c>
    </row>
    <row r="19" spans="1:11" x14ac:dyDescent="0.25">
      <c r="A19" t="s">
        <v>7</v>
      </c>
      <c r="B19" s="9">
        <f>Assumptions!$B$10+($B$20-Assumptions!$B$10)*0/9</f>
        <v>0.011862747422550534</v>
      </c>
      <c r="C19" s="9">
        <f>Assumptions!$B$10+($B$20-Assumptions!$B$10)*1/9</f>
        <v>0.01220289330008456</v>
      </c>
      <c r="D19" s="9">
        <f>Assumptions!$B$10+($B$20-Assumptions!$B$10)*2/9</f>
        <v>0.012543039177618585</v>
      </c>
      <c r="E19" s="9">
        <f>Assumptions!$B$10+($B$20-Assumptions!$B$10)*3/9</f>
        <v>0.012883185055152612</v>
      </c>
      <c r="F19" s="9">
        <f>Assumptions!$B$10+($B$20-Assumptions!$B$10)*4/9</f>
        <v>0.013223330932686636</v>
      </c>
      <c r="G19" s="9">
        <f>Assumptions!$B$10+($B$20-Assumptions!$B$10)*5/9</f>
        <v>0.013563476810220663</v>
      </c>
      <c r="H19" s="9">
        <f>Assumptions!$B$10+($B$20-Assumptions!$B$10)*6/9</f>
        <v>0.013903622687754687</v>
      </c>
      <c r="I19" s="9">
        <f>Assumptions!$B$10+($B$20-Assumptions!$B$10)*7/9</f>
        <v>0.014243768565288714</v>
      </c>
      <c r="J19" s="9">
        <f>Assumptions!$B$10+($B$20-Assumptions!$B$10)*8/9</f>
        <v>0.014583914442822738</v>
      </c>
      <c r="K19" s="9">
        <f>Assumptions!$B$10+($B$20-Assumptions!$B$10)*9/9</f>
        <v>0.014924060320356765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0.014924060320356765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3345114795.420837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3897339315.6395974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0.10598366374466218</v>
      </c>
    </row>
    <row r="7" spans="1:2" x14ac:dyDescent="0.25">
      <c r="A7" t="s">
        <v>66</v>
      </c>
      <c r="B7" s="18">
        <f>-MAX(B5,0)*B6</f>
        <v>-413054299.5275989</v>
      </c>
    </row>
    <row r="8" spans="1:2" x14ac:dyDescent="0.25">
      <c r="A8" t="s">
        <v>67</v>
      </c>
      <c r="B8" s="18">
        <f>IF(OR(Assumptions!$B$33=0,Assumptions!B12&lt;=0),B5,MAX(B5+B7,0))</f>
        <v>3484285016.1119986</v>
      </c>
    </row>
    <row r="9" spans="1:2" x14ac:dyDescent="0.25">
      <c r="A9" t="s">
        <v>68</v>
      </c>
      <c r="B9" s="18">
        <f>B8*(1+Assumptions!B12)/(Assumptions!B26-Assumptions!B12)</f>
        <v>56134263547.24669</v>
      </c>
    </row>
    <row r="10" spans="1:2" x14ac:dyDescent="0.25">
      <c r="A10" t="s">
        <v>69</v>
      </c>
      <c r="B10" s="18">
        <f>B9/(1+Assumptions!B26)^(10-0.5*Assumptions!B32)</f>
        <v>25054993719.162838</v>
      </c>
    </row>
    <row r="11" spans="1:2" x14ac:dyDescent="0.25">
      <c r="A11" t="s">
        <v>70</v>
      </c>
      <c r="B11" s="18">
        <f>Forecast!B17+B10</f>
        <v>42778416567.51589</v>
      </c>
    </row>
    <row r="12" spans="1:2" x14ac:dyDescent="0.25">
      <c r="A12" t="s">
        <v>71</v>
      </c>
      <c r="B12" s="18">
        <f>-Assumptions!B30</f>
        <v>-5292000000</v>
      </c>
    </row>
    <row r="13" spans="1:2" x14ac:dyDescent="0.25">
      <c r="A13" t="s">
        <v>72</v>
      </c>
      <c r="B13" s="18">
        <f>B11+B12</f>
        <v>37486416567.51589</v>
      </c>
    </row>
    <row r="14" spans="1:2" x14ac:dyDescent="0.25">
      <c r="A14" s="19" t="s">
        <v>73</v>
      </c>
      <c r="B14" s="24">
        <f>B13/Assumptions!B31</f>
        <v>188.1848221260838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5280059667.880434</v>
      </c>
    </row>
    <row r="18" spans="1:2" x14ac:dyDescent="0.25">
      <c r="A18" t="s">
        <v>68</v>
      </c>
      <c r="B18" s="18">
        <f>B17*Assumptions!B13</f>
        <v>88832895152.27336</v>
      </c>
    </row>
    <row r="19" spans="1:2" x14ac:dyDescent="0.25">
      <c r="A19" t="s">
        <v>69</v>
      </c>
      <c r="B19" s="18">
        <f>B18/(1+Assumptions!B26)^(10-0.5*Assumptions!B32)</f>
        <v>39649716402.21025</v>
      </c>
    </row>
    <row r="20" spans="1:2" x14ac:dyDescent="0.25">
      <c r="A20" t="s">
        <v>70</v>
      </c>
      <c r="B20" s="18">
        <f>Forecast!B17+B19</f>
        <v>57373139250.56331</v>
      </c>
    </row>
    <row r="21" spans="1:2" x14ac:dyDescent="0.25">
      <c r="A21" t="s">
        <v>71</v>
      </c>
      <c r="B21" s="18">
        <f>-Assumptions!B30</f>
        <v>-5292000000</v>
      </c>
    </row>
    <row r="22" spans="1:2" x14ac:dyDescent="0.25">
      <c r="A22" t="s">
        <v>72</v>
      </c>
      <c r="B22" s="18">
        <f>B20+B21</f>
        <v>52081139250.56331</v>
      </c>
    </row>
    <row r="23" spans="1:2" x14ac:dyDescent="0.25">
      <c r="A23" s="19" t="s">
        <v>73</v>
      </c>
      <c r="B23" s="25">
        <f>B22/Assumptions!B31</f>
        <v>261.451502261864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238.68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188.1848221260838</v>
      </c>
    </row>
    <row r="29" spans="1:2" x14ac:dyDescent="0.25">
      <c r="A29" s="19" t="s">
        <v>81</v>
      </c>
      <c r="B29" s="11">
        <f>B28/B26-1</f>
        <v>-0.21156015532896022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0.068622</v>
      </c>
      <c r="B5" s="31">
        <v>257.75597648046505</v>
      </c>
      <c r="C5" s="31">
        <v>271.90878437363017</v>
      </c>
      <c r="D5" s="31">
        <v>289.53105648382785</v>
      </c>
      <c r="E5" s="31">
        <v>311.9702622133542</v>
      </c>
      <c r="F5" s="31">
        <v>341.3754112668651</v>
      </c>
    </row>
    <row r="6" spans="1:6" x14ac:dyDescent="0.25">
      <c r="A6" s="30">
        <v>0.078622</v>
      </c>
      <c r="B6" s="31">
        <v>211.103695891472</v>
      </c>
      <c r="C6" s="31">
        <v>219.36597712859088</v>
      </c>
      <c r="D6" s="31">
        <v>229.3421198196056</v>
      </c>
      <c r="E6" s="31">
        <v>241.56085420614426</v>
      </c>
      <c r="F6" s="31">
        <v>256.7933250186836</v>
      </c>
    </row>
    <row r="7" spans="1:6" x14ac:dyDescent="0.25">
      <c r="A7" s="30">
        <v>0.088622</v>
      </c>
      <c r="B7" s="31">
        <v>177.2703832513204</v>
      </c>
      <c r="C7" s="31">
        <v>182.26654479974667</v>
      </c>
      <c r="D7" s="32">
        <v>188.1859343211285</v>
      </c>
      <c r="E7" s="31">
        <v>195.26478428099674</v>
      </c>
      <c r="F7" s="31">
        <v>203.82743742257776</v>
      </c>
    </row>
    <row r="8" spans="1:6" x14ac:dyDescent="0.25">
      <c r="A8" s="30">
        <v>0.098622</v>
      </c>
      <c r="B8" s="31">
        <v>151.64684672152907</v>
      </c>
      <c r="C8" s="31">
        <v>154.70850735743005</v>
      </c>
      <c r="D8" s="31">
        <v>158.29888084366334</v>
      </c>
      <c r="E8" s="31">
        <v>162.53353788284605</v>
      </c>
      <c r="F8" s="31">
        <v>167.56437959871278</v>
      </c>
    </row>
    <row r="9" spans="1:6" x14ac:dyDescent="0.25">
      <c r="A9" s="30">
        <v>0.108622</v>
      </c>
      <c r="B9" s="31">
        <v>131.5940185219048</v>
      </c>
      <c r="C9" s="31">
        <v>133.45453519093292</v>
      </c>
      <c r="D9" s="31">
        <v>135.63168157190793</v>
      </c>
      <c r="E9" s="31">
        <v>138.18586627411497</v>
      </c>
      <c r="F9" s="31">
        <v>141.19390838449098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30762000000</v>
      </c>
      <c r="C5" s="18">
        <v>29635000000</v>
      </c>
      <c r="D5" s="18">
        <v>29734000000</v>
      </c>
      <c r="E5" s="18">
        <v>28566000000</v>
      </c>
      <c r="F5" s="6" t="s">
        <v>91</v>
      </c>
    </row>
    <row r="6" spans="1:6" x14ac:dyDescent="0.25">
      <c r="A6" t="s">
        <v>51</v>
      </c>
      <c r="B6" s="18">
        <v>2686000000</v>
      </c>
      <c r="C6" s="18">
        <v>2680000000</v>
      </c>
      <c r="D6" s="18">
        <v>2784000000</v>
      </c>
      <c r="E6" s="18">
        <v>2820000000</v>
      </c>
      <c r="F6" s="6" t="s">
        <v>92</v>
      </c>
    </row>
    <row r="7" spans="1:6" x14ac:dyDescent="0.25">
      <c r="A7" t="s">
        <v>93</v>
      </c>
      <c r="B7" s="18">
        <v>373000000</v>
      </c>
      <c r="C7" s="18">
        <v>335000000</v>
      </c>
      <c r="D7" s="18">
        <v>321000000</v>
      </c>
      <c r="E7" s="18">
        <v>301000000</v>
      </c>
      <c r="F7" s="6" t="s">
        <v>94</v>
      </c>
    </row>
    <row r="8" spans="1:6" x14ac:dyDescent="0.25">
      <c r="A8" t="s">
        <v>95</v>
      </c>
      <c r="B8" s="18">
        <v>305000000</v>
      </c>
      <c r="C8" s="18">
        <v>372000000</v>
      </c>
      <c r="D8" s="18">
        <v>441000000</v>
      </c>
      <c r="E8" s="18">
        <v>290000000</v>
      </c>
      <c r="F8" s="6" t="s">
        <v>96</v>
      </c>
    </row>
    <row r="9" spans="1:6" x14ac:dyDescent="0.25">
      <c r="A9" t="s">
        <v>97</v>
      </c>
      <c r="B9" s="18">
        <v>348000000</v>
      </c>
      <c r="C9" s="18">
        <v>259000000</v>
      </c>
      <c r="D9" s="18">
        <v>-330000000</v>
      </c>
      <c r="E9" s="18">
        <v>1333000000</v>
      </c>
      <c r="F9" s="6" t="s">
        <v>98</v>
      </c>
    </row>
    <row r="10" spans="1:6" x14ac:dyDescent="0.25">
      <c r="A10" t="s">
        <v>99</v>
      </c>
      <c r="B10" s="18">
        <v>5966000000</v>
      </c>
      <c r="C10" s="18">
        <v>5517000000</v>
      </c>
      <c r="D10" s="18">
        <v>5258000000</v>
      </c>
      <c r="E10" s="18">
        <v>5128000000</v>
      </c>
      <c r="F10" s="6" t="s">
        <v>100</v>
      </c>
    </row>
    <row r="11" spans="1:6" x14ac:dyDescent="0.25">
      <c r="A11" t="s">
        <v>101</v>
      </c>
      <c r="B11" s="18">
        <v>674000000</v>
      </c>
      <c r="C11" s="18">
        <v>571000000</v>
      </c>
      <c r="D11" s="18">
        <v>601000000</v>
      </c>
      <c r="E11" s="18">
        <v>771000000</v>
      </c>
      <c r="F11" s="6" t="s">
        <v>102</v>
      </c>
    </row>
    <row r="12" spans="1:6" x14ac:dyDescent="0.25">
      <c r="A12" t="s">
        <v>34</v>
      </c>
      <c r="B12" s="34">
        <v>199200000</v>
      </c>
      <c r="C12" s="34">
        <v>203500000</v>
      </c>
      <c r="D12" s="34">
        <v>207200000</v>
      </c>
      <c r="E12" s="34">
        <v>211092605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