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<sst xmlns="http://schemas.openxmlformats.org/spreadsheetml/2006/main" count="111" uniqueCount="99">
  <si>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Ferguson Enterprises Inc. (FERG)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</si>
  <si>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</si>
  <si>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</si>
  <si>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</si>
  <si>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</si>
  <si>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</si>
  <si>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</si>
  <si>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</si>
  <si>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</si>
  <si>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</si>
  <si>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</si>
  <si>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</si>
  <si>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</si>
  <si>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</si>
  <si>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</si>
  <si>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</si>
  <si>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</si>
  <si>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</si>
  <si>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</si>
  <si>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</si>
  <si>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</si>
  <si>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</si>
  <si>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</si>
  <si>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</si>
  <si>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</si>
  <si>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</si>
  <si>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</si>
  <si>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</si>
  <si>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</si>
  <si>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</si>
  <si>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</si>
  <si>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</si>
  <si>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</si>
  <si>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</si>
  <si>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</si>
  <si>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</si>
  <si>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</si>
  <si>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</si>
  <si>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</si>
  <si>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</si>
  <si>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</si>
  <si>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</si>
  <si>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</si>
  <si>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</si>
  <si>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</si>
  <si>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</si>
  <si>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</si>
  <si>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</si>
  <si>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</si>
  <si>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</si>
  <si>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</si>
  <si>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</si>
  <si>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</si>
  <si>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</si>
  <si>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</si>
  <si>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</si>
  <si>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</si>
  <si>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</si>
  <si>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</si>
  <si>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</si>
  <si>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</si>
  <si>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</si>
  <si>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</si>
  <si>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</si>
  <si>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</si>
  <si>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</si>
  <si>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</si>
  <si>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</si>
  <si>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</si>
  <si>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</si>
  <si>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</si>
  <si>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</si>
  <si>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</si>
  <si>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</si>
  <si>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</si>
  <si>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</si>
  <si>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</si>
  <si>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</si>
  <si>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</si>
  <si>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2025-07-31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</si>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</sst>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0.024994917658773153</v>
      </c>
    </row>
    <row r="7" spans="1:2" x14ac:dyDescent="0.25">
      <c r="A7" t="s">
        <v>5</v>
      </c>
      <c r="B7" s="6">
        <v>0.09252451807077143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0.011190568667517069</v>
      </c>
    </row>
    <row r="10" spans="1:2" x14ac:dyDescent="0.25">
      <c r="A10" t="s">
        <v>8</v>
      </c>
      <c r="B10" s="6">
        <v>0.011862747422550534</v>
      </c>
    </row>
    <row r="11" spans="1:2" x14ac:dyDescent="0.25">
      <c r="A11" t="s">
        <v>9</v>
      </c>
      <c r="B11" s="6">
        <v>-0.2825342465753425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15.290638728996404</v>
      </c>
    </row>
    <row r="14" spans="1:3" x14ac:dyDescent="0.25">
      <c r="A14" t="s">
        <v>12</v>
      </c>
      <c r="B14" s="6">
        <v>0.23588541022916953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1.07504</v>
      </c>
      <c r="C19" s="8" t="s">
        <v>19</v>
      </c>
    </row>
    <row r="20" spans="1:2" x14ac:dyDescent="0.25">
      <c r="A20" t="s">
        <v>20</v>
      </c>
      <c r="B20" s="10">
        <f>B17+B19*B18</f>
        <v>0.1091072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41482063872</v>
      </c>
    </row>
    <row r="23" spans="1:2" x14ac:dyDescent="0.25">
      <c r="A23" t="s">
        <v>24</v>
      </c>
      <c r="B23" s="11">
        <v>5966000000</v>
      </c>
    </row>
    <row r="24" spans="1:2" x14ac:dyDescent="0.25">
      <c r="A24" t="s">
        <v>25</v>
      </c>
      <c r="B24" s="10">
        <f>B22/(B22+B23)</f>
        <v>0.8742625196236795</v>
      </c>
    </row>
    <row r="25" spans="1:2" x14ac:dyDescent="0.25">
      <c r="A25" t="s">
        <v>26</v>
      </c>
      <c r="B25" s="10">
        <f>1-B24</f>
        <v>0.1257374803763205</v>
      </c>
    </row>
    <row r="26" spans="1:2" x14ac:dyDescent="0.25">
      <c r="A26" t="s">
        <v>27</v>
      </c>
      <c r="B26" s="12">
        <f>B24*B20+B25*B21*(1-B8)</f>
        <v>0.10035297940375944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30762000000</v>
      </c>
      <c r="C29" s="8" t="s">
        <v>30</v>
      </c>
    </row>
    <row r="30" spans="1:2" x14ac:dyDescent="0.25">
      <c r="A30" t="s">
        <v>31</v>
      </c>
      <c r="B30" s="11">
        <v>5292000000</v>
      </c>
    </row>
    <row r="31" spans="1:2" x14ac:dyDescent="0.25">
      <c r="A31" t="s">
        <v>32</v>
      </c>
      <c r="B31" s="13">
        <v>199200000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0.024994917658773153</v>
      </c>
      <c r="C5" s="10">
        <f>Assumptions!B6</f>
        <v>0.024994917658773153</v>
      </c>
      <c r="D5" s="10">
        <f>Assumptions!B6</f>
        <v>0.024994917658773153</v>
      </c>
      <c r="E5" s="10">
        <f>Assumptions!B6</f>
        <v>0.024994917658773153</v>
      </c>
      <c r="F5" s="10">
        <f>Assumptions!B6</f>
        <v>0.024994917658773153</v>
      </c>
    </row>
    <row r="6" spans="1:6" x14ac:dyDescent="0.25">
      <c r="A6" t="s">
        <v>43</v>
      </c>
      <c r="B6" s="18">
        <f>Assumptions!B29*(1+B5)</f>
        <v>31530893657.01918</v>
      </c>
      <c r="C6" s="18">
        <f>B6*(1+C5)</f>
        <v>32319005747.683907</v>
      </c>
      <c r="D6" s="18">
        <f>C6*(1+D5)</f>
        <v>33126816635.160683</v>
      </c>
      <c r="E6" s="18">
        <f>D6*(1+E5)</f>
        <v>33954818689.2538</v>
      </c>
      <c r="F6" s="18">
        <f>E6*(1+F5)</f>
        <v>34803516586.51027</v>
      </c>
    </row>
    <row r="7" spans="1:6" x14ac:dyDescent="0.25">
      <c r="A7" t="s">
        <v>5</v>
      </c>
      <c r="B7" s="10">
        <f>Assumptions!B7</f>
        <v>0.09252451807077143</v>
      </c>
      <c r="C7" s="10">
        <f>Assumptions!B7</f>
        <v>0.09252451807077143</v>
      </c>
      <c r="D7" s="10">
        <f>Assumptions!B7</f>
        <v>0.09252451807077143</v>
      </c>
      <c r="E7" s="10">
        <f>Assumptions!B7</f>
        <v>0.09252451807077143</v>
      </c>
      <c r="F7" s="10">
        <f>Assumptions!B7</f>
        <v>0.09252451807077143</v>
      </c>
    </row>
    <row r="8" spans="1:6" x14ac:dyDescent="0.25">
      <c r="A8" t="s">
        <v>44</v>
      </c>
      <c r="B8" s="18">
        <f>B6*B7</f>
        <v>2917380739.9564433</v>
      </c>
      <c r="C8" s="18">
        <f>C6*C7</f>
        <v>2990300431.3309455</v>
      </c>
      <c r="D8" s="18">
        <f>D6*D7</f>
        <v>3065042744.3870564</v>
      </c>
      <c r="E8" s="18">
        <f>E6*E7</f>
        <v>3141653235.4036307</v>
      </c>
      <c r="F8" s="18">
        <f>F6*F7</f>
        <v>3220178599.334963</v>
      </c>
    </row>
    <row r="9" spans="1:6" x14ac:dyDescent="0.25">
      <c r="A9" t="s">
        <v>45</v>
      </c>
      <c r="B9" s="18">
        <f>B8*(1-Assumptions!B8)</f>
        <v>2304730784.5655904</v>
      </c>
      <c r="C9" s="18">
        <f>C8*(1-Assumptions!B8)</f>
        <v>2362337340.751447</v>
      </c>
      <c r="D9" s="18">
        <f>D8*(1-Assumptions!B8)</f>
        <v>2421383768.0657744</v>
      </c>
      <c r="E9" s="18">
        <f>E8*(1-Assumptions!B8)</f>
        <v>2481906055.9688683</v>
      </c>
      <c r="F9" s="18">
        <f>F8*(1-Assumptions!B8)</f>
        <v>2543941093.474621</v>
      </c>
    </row>
    <row r="10" spans="1:6" x14ac:dyDescent="0.25">
      <c r="A10" t="s">
        <v>46</v>
      </c>
      <c r="B10" s="18">
        <f>B6*Assumptions!B9</f>
        <v>352848630.61705154</v>
      </c>
      <c r="C10" s="18">
        <f>C6*Assumptions!B9</f>
        <v>361668053.0853356</v>
      </c>
      <c r="D10" s="18">
        <f>D6*Assumptions!B9</f>
        <v>370707916.29201233</v>
      </c>
      <c r="E10" s="18">
        <f>E6*Assumptions!B9</f>
        <v>379973730.13518655</v>
      </c>
      <c r="F10" s="18">
        <f>F6*Assumptions!B9</f>
        <v>389471142.23241246</v>
      </c>
    </row>
    <row r="11" spans="1:6" x14ac:dyDescent="0.25">
      <c r="A11" t="s">
        <v>47</v>
      </c>
      <c r="B11" s="18">
        <f>-B6*Assumptions!B10</f>
        <v>-374043027.46051925</v>
      </c>
      <c r="C11" s="18">
        <f>-C6*Assumptions!B10</f>
        <v>-383392202.13273317</v>
      </c>
      <c r="D11" s="18">
        <f>-D6*Assumptions!B10</f>
        <v>-392975058.6560566</v>
      </c>
      <c r="E11" s="18">
        <f>-E6*Assumptions!B10</f>
        <v>-402797437.8891162</v>
      </c>
      <c r="F11" s="18">
        <f>-F6*Assumptions!B10</f>
        <v>-412865326.68231946</v>
      </c>
    </row>
    <row r="12" spans="1:6" x14ac:dyDescent="0.25">
      <c r="A12" t="s">
        <v>48</v>
      </c>
      <c r="B12" s="18">
        <f>-(B6-Assumptions!B29)*Assumptions!B11</f>
        <v>217238790.0824739</v>
      </c>
      <c r="C12" s="18">
        <f>-(C6-B6)*Assumptions!B11</f>
        <v>222668655.75287643</v>
      </c>
      <c r="D12" s="18">
        <f>-(D6-C6)*Assumptions!B11</f>
        <v>228234240.46860972</v>
      </c>
      <c r="E12" s="18">
        <f>-(E6-D6)*Assumptions!B11</f>
        <v>233938936.51603472</v>
      </c>
      <c r="F12" s="18">
        <f>-(F6-E6)*Assumptions!B11</f>
        <v>239786220.9714341</v>
      </c>
    </row>
    <row r="13" spans="1:6" x14ac:dyDescent="0.25">
      <c r="A13" s="19" t="s">
        <v>49</v>
      </c>
      <c r="B13" s="20">
        <f>B9+B10+B11+B12</f>
        <v>2500775177.8045964</v>
      </c>
      <c r="C13" s="20">
        <f>C9+C10+C11+C12</f>
        <v>2563281847.456926</v>
      </c>
      <c r="D13" s="20">
        <f>D9+D10+D11+D12</f>
        <v>2627350866.17034</v>
      </c>
      <c r="E13" s="20">
        <f>E9+E10+E11+E12</f>
        <v>2693021284.7309732</v>
      </c>
      <c r="F13" s="20">
        <f>F9+F10+F11+F12</f>
        <v>2760333129.9961476</v>
      </c>
    </row>
    <row r="14" spans="1:6" x14ac:dyDescent="0.25">
      <c r="A14" t="s">
        <v>50</v>
      </c>
      <c r="B14" s="21">
        <f>1/(1+Assumptions!$B$26)^(1-0.5*Assumptions!$B$32)</f>
        <v>0.9533096475726228</v>
      </c>
      <c r="C14" s="21">
        <f>1/(1+Assumptions!$B$26)^(2-0.5*Assumptions!$B$32)</f>
        <v>0.8663671252920913</v>
      </c>
      <c r="D14" s="21">
        <f>1/(1+Assumptions!$B$26)^(3-0.5*Assumptions!$B$32)</f>
        <v>0.7873538232809109</v>
      </c>
      <c r="E14" s="21">
        <f>1/(1+Assumptions!$B$26)^(4-0.5*Assumptions!$B$32)</f>
        <v>0.7155465909744242</v>
      </c>
      <c r="F14" s="21">
        <f>1/(1+Assumptions!$B$26)^(5-0.5*Assumptions!$B$32)</f>
        <v>0.6502882296571345</v>
      </c>
    </row>
    <row r="15" spans="1:6" x14ac:dyDescent="0.25">
      <c r="A15" s="19" t="s">
        <v>51</v>
      </c>
      <c r="B15" s="20">
        <f>B13*B14</f>
        <v>2384013103.411263</v>
      </c>
      <c r="C15" s="20">
        <f>C13*C14</f>
        <v>2220743125.4946575</v>
      </c>
      <c r="D15" s="20">
        <f>D13*D14</f>
        <v>2068654749.57963</v>
      </c>
      <c r="E15" s="20">
        <f>E13*E14</f>
        <v>1926982199.710812</v>
      </c>
      <c r="F15" s="20">
        <f>F13*F14</f>
        <v>1795012144.3691318</v>
      </c>
    </row>
    <row r="17" spans="1:2" x14ac:dyDescent="0.25">
      <c r="A17" s="22" t="s">
        <v>52</v>
      </c>
      <c r="B17" s="23">
        <f>SUM(B15:F15)</f>
        <v>10395405322.565493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2760333129.9961476</v>
      </c>
    </row>
    <row r="5" spans="1:2" x14ac:dyDescent="0.25">
      <c r="A5" t="s">
        <v>56</v>
      </c>
      <c r="B5" s="18">
        <f>IF(Assumptions!$B$33=0,B4,B4-Forecast!F11-Forecast!F10-Forecast!F12)</f>
        <v>2664369484.1323924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0.10598366374466218</v>
      </c>
    </row>
    <row r="7" spans="1:2" x14ac:dyDescent="0.25">
      <c r="A7" t="s">
        <v>58</v>
      </c>
      <c r="B7" s="18">
        <f>-MAX(Forecast!F9,0)*B6</f>
        <v>-282379639.4978265</v>
      </c>
    </row>
    <row r="8" spans="1:2" x14ac:dyDescent="0.25">
      <c r="A8" t="s">
        <v>59</v>
      </c>
      <c r="B8" s="18">
        <f>IF(OR(Assumptions!$B$33=0,Assumptions!B12&lt;=0),B5,MAX(B5+B7,0))</f>
        <v>2381989844.634566</v>
      </c>
    </row>
    <row r="9" spans="1:2" x14ac:dyDescent="0.25">
      <c r="A9" t="s">
        <v>60</v>
      </c>
      <c r="B9" s="18">
        <f>B8*(1+Assumptions!B12)/(Assumptions!B26-Assumptions!B12)</f>
        <v>32401367670.786736</v>
      </c>
    </row>
    <row r="10" spans="1:2" x14ac:dyDescent="0.25">
      <c r="A10" t="s">
        <v>61</v>
      </c>
      <c r="B10" s="18">
        <f>B9/(1+Assumptions!B26)^(5-0.5*Assumptions!B32)</f>
        <v>21070228021.10582</v>
      </c>
    </row>
    <row r="11" spans="1:2" x14ac:dyDescent="0.25">
      <c r="A11" t="s">
        <v>62</v>
      </c>
      <c r="B11" s="18">
        <f>Forecast!B17+B10</f>
        <v>31465633343.67131</v>
      </c>
    </row>
    <row r="12" spans="1:2" x14ac:dyDescent="0.25">
      <c r="A12" t="s">
        <v>63</v>
      </c>
      <c r="B12" s="18">
        <f>-Assumptions!B30</f>
        <v>-5292000000</v>
      </c>
    </row>
    <row r="13" spans="1:2" x14ac:dyDescent="0.25">
      <c r="A13" t="s">
        <v>64</v>
      </c>
      <c r="B13" s="18">
        <f>B11+B12</f>
        <v>26173633343.67131</v>
      </c>
    </row>
    <row r="14" spans="1:2" x14ac:dyDescent="0.25">
      <c r="A14" s="19" t="s">
        <v>65</v>
      </c>
      <c r="B14" s="24">
        <f>B13/Assumptions!B31</f>
        <v>131.39374168509693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3609649741.567375</v>
      </c>
    </row>
    <row r="18" spans="1:2" x14ac:dyDescent="0.25">
      <c r="A18" t="s">
        <v>60</v>
      </c>
      <c r="B18" s="18">
        <f>B17*Assumptions!B13</f>
        <v>55193850136.521965</v>
      </c>
    </row>
    <row r="19" spans="1:2" x14ac:dyDescent="0.25">
      <c r="A19" t="s">
        <v>61</v>
      </c>
      <c r="B19" s="18">
        <f>B18/(1+Assumptions!B26)^(5-0.5*Assumptions!B32)</f>
        <v>35891911093.24006</v>
      </c>
    </row>
    <row r="20" spans="1:2" x14ac:dyDescent="0.25">
      <c r="A20" t="s">
        <v>62</v>
      </c>
      <c r="B20" s="18">
        <f>Forecast!B17+B19</f>
        <v>46287316415.80555</v>
      </c>
    </row>
    <row r="21" spans="1:2" x14ac:dyDescent="0.25">
      <c r="A21" t="s">
        <v>63</v>
      </c>
      <c r="B21" s="18">
        <f>-Assumptions!B30</f>
        <v>-5292000000</v>
      </c>
    </row>
    <row r="22" spans="1:2" x14ac:dyDescent="0.25">
      <c r="A22" t="s">
        <v>64</v>
      </c>
      <c r="B22" s="18">
        <f>B20+B21</f>
        <v>40995316415.80555</v>
      </c>
    </row>
    <row r="23" spans="1:2" x14ac:dyDescent="0.25">
      <c r="A23" s="19" t="s">
        <v>65</v>
      </c>
      <c r="B23" s="25">
        <f>B22/Assumptions!B31</f>
        <v>205.7997812038431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214.43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131.39374168509693</v>
      </c>
    </row>
    <row r="29" spans="1:2" x14ac:dyDescent="0.25">
      <c r="A29" s="19" t="s">
        <v>73</v>
      </c>
      <c r="B29" s="12">
        <f>B28/B26-1</f>
        <v>-0.38724179599357866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0.080353</v>
      </c>
      <c r="B5" s="31">
        <v>165.32568459618346</v>
      </c>
      <c r="C5" s="31">
        <v>174.0559463578693</v>
      </c>
      <c r="D5" s="31">
        <v>184.32723246756976</v>
      </c>
      <c r="E5" s="31">
        <v>196.59860922163708</v>
      </c>
      <c r="F5" s="31">
        <v>211.53158434096073</v>
      </c>
    </row>
    <row r="6" spans="1:6" x14ac:dyDescent="0.25">
      <c r="A6" s="30">
        <v>0.090353</v>
      </c>
      <c r="B6" s="31">
        <v>141.06980693109688</v>
      </c>
      <c r="C6" s="31">
        <v>147.0118756845247</v>
      </c>
      <c r="D6" s="31">
        <v>153.83377721251867</v>
      </c>
      <c r="E6" s="31">
        <v>161.75418319036393</v>
      </c>
      <c r="F6" s="31">
        <v>171.07077516644586</v>
      </c>
    </row>
    <row r="7" spans="1:6" x14ac:dyDescent="0.25">
      <c r="A7" s="30">
        <v>0.100353</v>
      </c>
      <c r="B7" s="31">
        <v>122.47497755338324</v>
      </c>
      <c r="C7" s="31">
        <v>126.66832606651704</v>
      </c>
      <c r="D7" s="32">
        <v>131.3937015607039</v>
      </c>
      <c r="E7" s="31">
        <v>136.76453778739437</v>
      </c>
      <c r="F7" s="31">
        <v>142.92898266615683</v>
      </c>
    </row>
    <row r="8" spans="1:6" x14ac:dyDescent="0.25">
      <c r="A8" s="30">
        <v>0.110353</v>
      </c>
      <c r="B8" s="31">
        <v>107.76119301323416</v>
      </c>
      <c r="C8" s="31">
        <v>110.80198077183866</v>
      </c>
      <c r="D8" s="31">
        <v>114.17829009134704</v>
      </c>
      <c r="E8" s="31">
        <v>117.9527548922547</v>
      </c>
      <c r="F8" s="31">
        <v>122.20463322959574</v>
      </c>
    </row>
    <row r="9" spans="1:6" x14ac:dyDescent="0.25">
      <c r="A9" s="30">
        <v>0.120353</v>
      </c>
      <c r="B9" s="31">
        <v>95.82421024314786</v>
      </c>
      <c r="C9" s="31">
        <v>98.07563550991097</v>
      </c>
      <c r="D9" s="31">
        <v>100.54534591150023</v>
      </c>
      <c r="E9" s="31">
        <v>103.26958016740916</v>
      </c>
      <c r="F9" s="31">
        <v>106.29306848998874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30762000000</v>
      </c>
      <c r="C5" s="18">
        <v>29635000000</v>
      </c>
      <c r="D5" s="18">
        <v>29734000000</v>
      </c>
      <c r="E5" s="18">
        <v>28566000000</v>
      </c>
      <c r="F5" s="8" t="s">
        <v>84</v>
      </c>
    </row>
    <row r="6" spans="1:6" x14ac:dyDescent="0.25">
      <c r="A6" t="s">
        <v>44</v>
      </c>
      <c r="B6" s="18">
        <v>2686000000</v>
      </c>
      <c r="C6" s="18">
        <v>2680000000</v>
      </c>
      <c r="D6" s="18">
        <v>2784000000</v>
      </c>
      <c r="E6" s="18">
        <v>2820000000</v>
      </c>
      <c r="F6" s="8" t="s">
        <v>85</v>
      </c>
    </row>
    <row r="7" spans="1:6" x14ac:dyDescent="0.25">
      <c r="A7" t="s">
        <v>86</v>
      </c>
      <c r="B7" s="18">
        <v>373000000</v>
      </c>
      <c r="C7" s="18">
        <v>335000000</v>
      </c>
      <c r="D7" s="18">
        <v>321000000</v>
      </c>
      <c r="E7" s="18">
        <v>301000000</v>
      </c>
      <c r="F7" s="8" t="s">
        <v>87</v>
      </c>
    </row>
    <row r="8" spans="1:6" x14ac:dyDescent="0.25">
      <c r="A8" t="s">
        <v>88</v>
      </c>
      <c r="B8" s="18">
        <v>305000000</v>
      </c>
      <c r="C8" s="18">
        <v>372000000</v>
      </c>
      <c r="D8" s="18">
        <v>441000000</v>
      </c>
      <c r="E8" s="18">
        <v>290000000</v>
      </c>
      <c r="F8" s="8" t="s">
        <v>89</v>
      </c>
    </row>
    <row r="9" spans="1:6" x14ac:dyDescent="0.25">
      <c r="A9" t="s">
        <v>90</v>
      </c>
      <c r="B9" s="18">
        <v>348000000</v>
      </c>
      <c r="C9" s="18">
        <v>259000000</v>
      </c>
      <c r="D9" s="18">
        <v>-330000000</v>
      </c>
      <c r="E9" s="18">
        <v>1333000000</v>
      </c>
      <c r="F9" s="8" t="s">
        <v>91</v>
      </c>
    </row>
    <row r="10" spans="1:6" x14ac:dyDescent="0.25">
      <c r="A10" t="s">
        <v>92</v>
      </c>
      <c r="B10" s="18">
        <v>5966000000</v>
      </c>
      <c r="C10" s="18">
        <v>5517000000</v>
      </c>
      <c r="D10" s="18">
        <v>5258000000</v>
      </c>
      <c r="E10" s="18">
        <v>5128000000</v>
      </c>
      <c r="F10" s="8" t="s">
        <v>93</v>
      </c>
    </row>
    <row r="11" spans="1:6" x14ac:dyDescent="0.25">
      <c r="A11" t="s">
        <v>94</v>
      </c>
      <c r="B11" s="18">
        <v>674000000</v>
      </c>
      <c r="C11" s="18">
        <v>571000000</v>
      </c>
      <c r="D11" s="18">
        <v>601000000</v>
      </c>
      <c r="E11" s="18">
        <v>771000000</v>
      </c>
      <c r="F11" s="8" t="s">
        <v>95</v>
      </c>
    </row>
    <row r="12" spans="1:6" x14ac:dyDescent="0.25">
      <c r="A12" t="s">
        <v>32</v>
      </c>
      <c r="B12" s="34">
        <v>199200000</v>
      </c>
      <c r="C12" s="34">
        <v>203500000</v>
      </c>
      <c r="D12" s="34">
        <v>207200000</v>
      </c>
      <c r="E12" s="34">
        <v>211092605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