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<sst xmlns="http://schemas.openxmlformats.org/spreadsheetml/2006/main" count="115" uniqueCount="103">
  <si>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Fairfax Financial Holdings Limited (FFH.TO)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</si>
  <si>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</si>
  <si>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</si>
  <si>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</si>
  <si>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</si>
  <si>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</si>
  <si>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</si>
  <si>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</si>
  <si>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</si>
  <si>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</si>
  <si>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</si>
  <si>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</si>
  <si>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</si>
  <si>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</si>
  <si>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</si>
  <si>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</si>
  <si>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</si>
  <si>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</si>
  <si>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</si>
  <si>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</si>
  <si>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</si>
  <si>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</si>
  <si>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</si>
  <si>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</si>
  <si>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</si>
  <si>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</si>
  <si>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</si>
  <si>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</si>
  <si>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</si>
  <si>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</si>
  <si>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</si>
  <si>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</si>
  <si>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</si>
  <si>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</si>
  <si>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</si>
  <si>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</si>
  <si>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</si>
  <si>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</si>
  <si>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</si>
  <si>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</si>
  <si>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</si>
  <si>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</si>
  <si>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</si>
  <si>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</si>
  <si>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</si>
  <si>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</si>
  <si>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</si>
  <si>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</si>
  <si>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</si>
  <si>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</si>
  <si>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</si>
  <si>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</si>
  <si>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</si>
  <si>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</si>
  <si>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</si>
  <si>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</si>
  <si>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</si>
  <si>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</si>
  <si>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</si>
  <si>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</si>
  <si>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</si>
  <si>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</si>
  <si>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</si>
  <si>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</si>
  <si>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</si>
  <si>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</si>
  <si>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</si>
  <si>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</si>
  <si>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</si>
  <si>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</si>
  <si>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</si>
  <si>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</si>
  <si>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</si>
  <si>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</si>
  <si>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</si>
  <si>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</si>
  <si>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</si>
  <si>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</si>
  <si>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</si>
  <si>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</si>
  <si>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</si>
  <si>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</si>
  <si>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</si>
  <si>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</si>
  <si>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</si>
  <si>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</si>
  <si>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</si>
  <si>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</si>
  <si>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</si>
  <si>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</si>
  <si>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</si>
  <si>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</si>
  <si>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</si>
  <si>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</si>
  <si>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</si>
  <si>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</si>
  <si>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</si>
  <si>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</si>
  <si>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</si>
  <si>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CAD. Modelled in USD, converted at the end.</t>
  </si>
  <si>
    <t>Adjusted: Consensus rests on as few as 1 analyst estimate(s).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</si>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</sst>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0.15795972928843627</v>
      </c>
    </row>
    <row r="7" spans="1:2" x14ac:dyDescent="0.25">
      <c r="A7" t="s">
        <v>5</v>
      </c>
      <c r="B7" s="6">
        <v>0.22508448066596418</v>
      </c>
    </row>
    <row r="8" spans="1:2" x14ac:dyDescent="0.25">
      <c r="A8" t="s">
        <v>6</v>
      </c>
      <c r="B8" s="6">
        <v>0.2011703098184183</v>
      </c>
    </row>
    <row r="9" spans="1:2" x14ac:dyDescent="0.25">
      <c r="A9" t="s">
        <v>7</v>
      </c>
      <c r="B9" s="6">
        <v>0.030762586187301547</v>
      </c>
    </row>
    <row r="10" spans="1:2" x14ac:dyDescent="0.25">
      <c r="A10" t="s">
        <v>8</v>
      </c>
      <c r="B10" s="6">
        <v>0.01893892873829339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7.320807373098379</v>
      </c>
    </row>
    <row r="14" spans="1:3" x14ac:dyDescent="0.25">
      <c r="A14" t="s">
        <v>12</v>
      </c>
      <c r="B14" s="6">
        <v>0.13905954190964803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0.61877</v>
      </c>
      <c r="C19" s="8" t="s">
        <v>19</v>
      </c>
    </row>
    <row r="20" spans="1:2" x14ac:dyDescent="0.25">
      <c r="A20" t="s">
        <v>20</v>
      </c>
      <c r="B20" s="10">
        <f>B17+B19*B18</f>
        <v>0.06703235</v>
      </c>
    </row>
    <row r="21" spans="1:3" x14ac:dyDescent="0.25">
      <c r="A21" t="s">
        <v>21</v>
      </c>
      <c r="B21" s="6">
        <v>0.05893361632559407</v>
      </c>
      <c r="C21" s="8" t="s">
        <v>22</v>
      </c>
    </row>
    <row r="22" spans="1:2" x14ac:dyDescent="0.25">
      <c r="A22" t="s">
        <v>23</v>
      </c>
      <c r="B22" s="11">
        <v>46625644544</v>
      </c>
    </row>
    <row r="23" spans="1:2" x14ac:dyDescent="0.25">
      <c r="A23" t="s">
        <v>24</v>
      </c>
      <c r="B23" s="11">
        <v>14833900000</v>
      </c>
    </row>
    <row r="24" spans="1:2" x14ac:dyDescent="0.25">
      <c r="A24" t="s">
        <v>25</v>
      </c>
      <c r="B24" s="10">
        <f>B22/(B22+B23)</f>
        <v>0.7586396041483818</v>
      </c>
    </row>
    <row r="25" spans="1:2" x14ac:dyDescent="0.25">
      <c r="A25" t="s">
        <v>26</v>
      </c>
      <c r="B25" s="10">
        <f>1-B24</f>
        <v>0.24136039585161817</v>
      </c>
    </row>
    <row r="26" spans="1:2" x14ac:dyDescent="0.25">
      <c r="A26" t="s">
        <v>27</v>
      </c>
      <c r="B26" s="12">
        <f>B24*B20+B25*B21*(1-B8)</f>
        <v>0.06221614147252475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30405400000</v>
      </c>
      <c r="C29" s="8" t="s">
        <v>30</v>
      </c>
    </row>
    <row r="30" spans="1:2" x14ac:dyDescent="0.25">
      <c r="A30" t="s">
        <v>31</v>
      </c>
      <c r="B30" s="11">
        <v>6260600000</v>
      </c>
    </row>
    <row r="31" spans="1:2" x14ac:dyDescent="0.25">
      <c r="A31" t="s">
        <v>32</v>
      </c>
      <c r="B31" s="13">
        <v>23084027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0.15795972928843627</v>
      </c>
      <c r="C5" s="10">
        <f>Assumptions!B6</f>
        <v>0.15795972928843627</v>
      </c>
      <c r="D5" s="10">
        <f>Assumptions!B6</f>
        <v>0.15795972928843627</v>
      </c>
      <c r="E5" s="10">
        <f>Assumptions!B6</f>
        <v>0.15795972928843627</v>
      </c>
      <c r="F5" s="10">
        <f>Assumptions!B6</f>
        <v>0.15795972928843627</v>
      </c>
    </row>
    <row r="6" spans="1:6" x14ac:dyDescent="0.25">
      <c r="A6" t="s">
        <v>43</v>
      </c>
      <c r="B6" s="18">
        <f>Assumptions!B29*(1+B5)</f>
        <v>35208228752.906624</v>
      </c>
      <c r="C6" s="18">
        <f>B6*(1+C5)</f>
        <v>40769711035.44109</v>
      </c>
      <c r="D6" s="18">
        <f>C6*(1+D5)</f>
        <v>47209683553.76714</v>
      </c>
      <c r="E6" s="18">
        <f>D6*(1+E5)</f>
        <v>54666912387.712944</v>
      </c>
      <c r="F6" s="18">
        <f>E6*(1+F5)</f>
        <v>63302083069.51074</v>
      </c>
    </row>
    <row r="7" spans="1:6" x14ac:dyDescent="0.25">
      <c r="A7" t="s">
        <v>5</v>
      </c>
      <c r="B7" s="10">
        <f>Assumptions!B7</f>
        <v>0.22508448066596418</v>
      </c>
      <c r="C7" s="10">
        <f>Assumptions!B7</f>
        <v>0.22508448066596418</v>
      </c>
      <c r="D7" s="10">
        <f>Assumptions!B7</f>
        <v>0.22508448066596418</v>
      </c>
      <c r="E7" s="10">
        <f>Assumptions!B7</f>
        <v>0.22508448066596418</v>
      </c>
      <c r="F7" s="10">
        <f>Assumptions!B7</f>
        <v>0.22508448066596418</v>
      </c>
    </row>
    <row r="8" spans="1:6" x14ac:dyDescent="0.25">
      <c r="A8" t="s">
        <v>44</v>
      </c>
      <c r="B8" s="18">
        <f>B6*B7</f>
        <v>7924825884.016455</v>
      </c>
      <c r="C8" s="18">
        <f>C6*C7</f>
        <v>9176629235.313686</v>
      </c>
      <c r="D8" s="18">
        <f>D6*D7</f>
        <v>10626167105.104187</v>
      </c>
      <c r="E8" s="18">
        <f>E6*E7</f>
        <v>12304673584.400131</v>
      </c>
      <c r="F8" s="18">
        <f>F6*F7</f>
        <v>14248316492.77455</v>
      </c>
    </row>
    <row r="9" spans="1:6" x14ac:dyDescent="0.25">
      <c r="A9" t="s">
        <v>45</v>
      </c>
      <c r="B9" s="18">
        <f>B8*(1-Assumptions!B8)</f>
        <v>6330586205.671844</v>
      </c>
      <c r="C9" s="18">
        <f>C8*(1-Assumptions!B8)</f>
        <v>7330563888.956877</v>
      </c>
      <c r="D9" s="18">
        <f>D8*(1-Assumptions!B8)</f>
        <v>8488497776.388092</v>
      </c>
      <c r="E9" s="18">
        <f>E8*(1-Assumptions!B8)</f>
        <v>9829338587.21185</v>
      </c>
      <c r="F9" s="18">
        <f>F8*(1-Assumptions!B8)</f>
        <v>11381978249.532213</v>
      </c>
    </row>
    <row r="10" spans="1:6" x14ac:dyDescent="0.25">
      <c r="A10" t="s">
        <v>46</v>
      </c>
      <c r="B10" s="18">
        <f>B6*Assumptions!B9</f>
        <v>1083096171.5135186</v>
      </c>
      <c r="C10" s="18">
        <f>C6*Assumptions!B9</f>
        <v>1254181749.5591357</v>
      </c>
      <c r="D10" s="18">
        <f>D6*Assumptions!B9</f>
        <v>1452291959.1979942</v>
      </c>
      <c r="E10" s="18">
        <f>E6*Assumptions!B9</f>
        <v>1681695603.920682</v>
      </c>
      <c r="F10" s="18">
        <f>F6*Assumptions!B9</f>
        <v>1947335786.2615464</v>
      </c>
    </row>
    <row r="11" spans="1:6" x14ac:dyDescent="0.25">
      <c r="A11" t="s">
        <v>47</v>
      </c>
      <c r="B11" s="18">
        <f>-B6*Assumptions!B10</f>
        <v>-666806135.3528309</v>
      </c>
      <c r="C11" s="18">
        <f>-C6*Assumptions!B10</f>
        <v>-772134651.9810325</v>
      </c>
      <c r="D11" s="18">
        <f>-D6*Assumptions!B10</f>
        <v>-894100832.5821773</v>
      </c>
      <c r="E11" s="18">
        <f>-E6*Assumptions!B10</f>
        <v>-1035332758.0534235</v>
      </c>
      <c r="F11" s="18">
        <f>-F6*Assumptions!B10</f>
        <v>-1198873640.2389925</v>
      </c>
    </row>
    <row r="12" spans="1:6" x14ac:dyDescent="0.25">
      <c r="A12" t="s">
        <v>48</v>
      </c>
      <c r="B12" s="18">
        <f>-(B6-Assumptions!B29)*Assumptions!B11</f>
        <v>4802828752.906624</v>
      </c>
      <c r="C12" s="18">
        <f>-(C6-B6)*Assumptions!B11</f>
        <v>5561482282.53447</v>
      </c>
      <c r="D12" s="18">
        <f>-(D6-C6)*Assumptions!B11</f>
        <v>6439972518.32605</v>
      </c>
      <c r="E12" s="18">
        <f>-(E6-D6)*Assumptions!B11</f>
        <v>7457228833.945801</v>
      </c>
      <c r="F12" s="18">
        <f>-(F6-E6)*Assumptions!B11</f>
        <v>8635170681.797798</v>
      </c>
    </row>
    <row r="13" spans="1:6" x14ac:dyDescent="0.25">
      <c r="A13" s="19" t="s">
        <v>49</v>
      </c>
      <c r="B13" s="20">
        <f>B9+B10+B11+B12</f>
        <v>11549704994.739155</v>
      </c>
      <c r="C13" s="20">
        <f>C9+C10+C11+C12</f>
        <v>13374093269.06945</v>
      </c>
      <c r="D13" s="20">
        <f>D9+D10+D11+D12</f>
        <v>15486661421.329958</v>
      </c>
      <c r="E13" s="20">
        <f>E9+E10+E11+E12</f>
        <v>17932930267.02491</v>
      </c>
      <c r="F13" s="20">
        <f>F9+F10+F11+F12</f>
        <v>20765611077.352566</v>
      </c>
    </row>
    <row r="14" spans="1:6" x14ac:dyDescent="0.25">
      <c r="A14" t="s">
        <v>50</v>
      </c>
      <c r="B14" s="21">
        <f>1/(1+Assumptions!$B$26)^(1-0.5*Assumptions!$B$32)</f>
        <v>0.9702721182218288</v>
      </c>
      <c r="C14" s="21">
        <f>1/(1+Assumptions!$B$26)^(2-0.5*Assumptions!$B$32)</f>
        <v>0.9134413236055362</v>
      </c>
      <c r="D14" s="21">
        <f>1/(1+Assumptions!$B$26)^(3-0.5*Assumptions!$B$32)</f>
        <v>0.859939223234976</v>
      </c>
      <c r="E14" s="21">
        <f>1/(1+Assumptions!$B$26)^(4-0.5*Assumptions!$B$32)</f>
        <v>0.8095708487755258</v>
      </c>
      <c r="F14" s="21">
        <f>1/(1+Assumptions!$B$26)^(5-0.5*Assumptions!$B$32)</f>
        <v>0.7621526515810964</v>
      </c>
    </row>
    <row r="15" spans="1:6" x14ac:dyDescent="0.25">
      <c r="A15" s="19" t="s">
        <v>51</v>
      </c>
      <c r="B15" s="20">
        <f>B13*B14</f>
        <v>11206356730.082796</v>
      </c>
      <c r="C15" s="20">
        <f>C13*C14</f>
        <v>12216449457.72269</v>
      </c>
      <c r="D15" s="20">
        <f>D13*D14</f>
        <v>13317587593.161552</v>
      </c>
      <c r="E15" s="20">
        <f>E13*E14</f>
        <v>14517977577.307673</v>
      </c>
      <c r="F15" s="20">
        <f>F13*F14</f>
        <v>15826565544.306046</v>
      </c>
    </row>
    <row r="17" spans="1:2" x14ac:dyDescent="0.25">
      <c r="A17" s="22" t="s">
        <v>52</v>
      </c>
      <c r="B17" s="23">
        <f>SUM(B15:F15)</f>
        <v>67084936902.58076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20765611077.352566</v>
      </c>
    </row>
    <row r="5" spans="1:2" x14ac:dyDescent="0.25">
      <c r="A5" t="s">
        <v>56</v>
      </c>
      <c r="B5" s="18">
        <f>IF(Assumptions!$B$33=0,B4,B4-Forecast!F11-Forecast!F10-Forecast!F12)</f>
        <v>11381978249.532213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0.1797791050990474</v>
      </c>
    </row>
    <row r="7" spans="1:2" x14ac:dyDescent="0.25">
      <c r="A7" t="s">
        <v>58</v>
      </c>
      <c r="B7" s="18">
        <f>-MAX(Forecast!F9,0)*B6</f>
        <v>-2046241863.9577234</v>
      </c>
    </row>
    <row r="8" spans="1:2" x14ac:dyDescent="0.25">
      <c r="A8" t="s">
        <v>59</v>
      </c>
      <c r="B8" s="18">
        <f>IF(OR(Assumptions!$B$33=0,Assumptions!B12&lt;=0),B5,MAX(B5+B7,0))</f>
        <v>9335736385.57449</v>
      </c>
    </row>
    <row r="9" spans="1:2" x14ac:dyDescent="0.25">
      <c r="A9" t="s">
        <v>60</v>
      </c>
      <c r="B9" s="18">
        <f>B8*(1+Assumptions!B12)/(Assumptions!B26-Assumptions!B12)</f>
        <v>257123103486.6517</v>
      </c>
    </row>
    <row r="10" spans="1:2" x14ac:dyDescent="0.25">
      <c r="A10" t="s">
        <v>61</v>
      </c>
      <c r="B10" s="18">
        <f>B9/(1+Assumptions!B26)^(5-0.5*Assumptions!B32)</f>
        <v>195967055105.11224</v>
      </c>
    </row>
    <row r="11" spans="1:2" x14ac:dyDescent="0.25">
      <c r="A11" t="s">
        <v>62</v>
      </c>
      <c r="B11" s="18">
        <f>Forecast!B17+B10</f>
        <v>263051992007.693</v>
      </c>
    </row>
    <row r="12" spans="1:2" x14ac:dyDescent="0.25">
      <c r="A12" t="s">
        <v>63</v>
      </c>
      <c r="B12" s="18">
        <f>-Assumptions!B30</f>
        <v>-6260600000</v>
      </c>
    </row>
    <row r="13" spans="1:2" x14ac:dyDescent="0.25">
      <c r="A13" t="s">
        <v>64</v>
      </c>
      <c r="B13" s="18">
        <f>B11+B12</f>
        <v>256791392007.693</v>
      </c>
    </row>
    <row r="14" spans="1:2" x14ac:dyDescent="0.25">
      <c r="A14" s="19" t="s">
        <v>65</v>
      </c>
      <c r="B14" s="24">
        <f>B13/Assumptions!B31</f>
        <v>11124.202549567846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16195652279.036097</v>
      </c>
    </row>
    <row r="18" spans="1:2" x14ac:dyDescent="0.25">
      <c r="A18" t="s">
        <v>60</v>
      </c>
      <c r="B18" s="18">
        <f>B17*Assumptions!B13</f>
        <v>118565250616.50502</v>
      </c>
    </row>
    <row r="19" spans="1:2" x14ac:dyDescent="0.25">
      <c r="A19" t="s">
        <v>61</v>
      </c>
      <c r="B19" s="18">
        <f>B18/(1+Assumptions!B26)^(5-0.5*Assumptions!B32)</f>
        <v>90364820142.74652</v>
      </c>
    </row>
    <row r="20" spans="1:2" x14ac:dyDescent="0.25">
      <c r="A20" t="s">
        <v>62</v>
      </c>
      <c r="B20" s="18">
        <f>Forecast!B17+B19</f>
        <v>157449757045.32727</v>
      </c>
    </row>
    <row r="21" spans="1:2" x14ac:dyDescent="0.25">
      <c r="A21" t="s">
        <v>63</v>
      </c>
      <c r="B21" s="18">
        <f>-Assumptions!B30</f>
        <v>-6260600000</v>
      </c>
    </row>
    <row r="22" spans="1:2" x14ac:dyDescent="0.25">
      <c r="A22" t="s">
        <v>64</v>
      </c>
      <c r="B22" s="18">
        <f>B20+B21</f>
        <v>151189157045.32727</v>
      </c>
    </row>
    <row r="23" spans="1:2" x14ac:dyDescent="0.25">
      <c r="A23" s="19" t="s">
        <v>65</v>
      </c>
      <c r="B23" s="25">
        <f>B22/Assumptions!B31</f>
        <v>6549.513958085705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2244.95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15553.860004805763</v>
      </c>
    </row>
    <row r="29" spans="1:2" x14ac:dyDescent="0.25">
      <c r="A29" s="19" t="s">
        <v>73</v>
      </c>
      <c r="B29" s="12">
        <f>B28/B26-1</f>
        <v>5.928377026127872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0.042216</v>
      </c>
      <c r="B5" s="31">
        <v>16407.11831595964</v>
      </c>
      <c r="C5" s="31">
        <v>18878.829283661526</v>
      </c>
      <c r="D5" s="31">
        <v>22777.69661703721</v>
      </c>
      <c r="E5" s="31">
        <v>29856.12253326963</v>
      </c>
      <c r="F5" s="31">
        <v>46723.49987366303</v>
      </c>
    </row>
    <row r="6" spans="1:6" x14ac:dyDescent="0.25">
      <c r="A6" s="30">
        <v>0.052216</v>
      </c>
      <c r="B6" s="31">
        <v>12250.692986202377</v>
      </c>
      <c r="C6" s="31">
        <v>13339.386571903324</v>
      </c>
      <c r="D6" s="31">
        <v>14822.919258887547</v>
      </c>
      <c r="E6" s="31">
        <v>16967.88208601215</v>
      </c>
      <c r="F6" s="31">
        <v>20350.56757779534</v>
      </c>
    </row>
    <row r="7" spans="1:6" x14ac:dyDescent="0.25">
      <c r="A7" s="30">
        <v>0.062216</v>
      </c>
      <c r="B7" s="31">
        <v>9841.912999854</v>
      </c>
      <c r="C7" s="31">
        <v>10408.738801661211</v>
      </c>
      <c r="D7" s="32">
        <v>11124.240942883938</v>
      </c>
      <c r="E7" s="31">
        <v>12057.644190446455</v>
      </c>
      <c r="F7" s="31">
        <v>13329.043951282078</v>
      </c>
    </row>
    <row r="8" spans="1:6" x14ac:dyDescent="0.25">
      <c r="A8" s="30">
        <v>0.072216</v>
      </c>
      <c r="B8" s="31">
        <v>8265.122720775478</v>
      </c>
      <c r="C8" s="31">
        <v>8588.837217911085</v>
      </c>
      <c r="D8" s="31">
        <v>8978.368484952589</v>
      </c>
      <c r="E8" s="31">
        <v>9457.102241735804</v>
      </c>
      <c r="F8" s="31">
        <v>10060.991770347075</v>
      </c>
    </row>
    <row r="9" spans="1:6" x14ac:dyDescent="0.25">
      <c r="A9" s="30">
        <v>0.082216</v>
      </c>
      <c r="B9" s="31">
        <v>7149.528219446781</v>
      </c>
      <c r="C9" s="31">
        <v>7344.71300715719</v>
      </c>
      <c r="D9" s="31">
        <v>7571.8400407953395</v>
      </c>
      <c r="E9" s="31">
        <v>7840.0853140971785</v>
      </c>
      <c r="F9" s="31">
        <v>8162.511636173077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30405400000</v>
      </c>
      <c r="C5" s="18">
        <v>26964200000</v>
      </c>
      <c r="D5" s="18">
        <v>25803100000</v>
      </c>
      <c r="E5" s="18">
        <v>19582600000</v>
      </c>
      <c r="F5" s="8" t="s">
        <v>84</v>
      </c>
    </row>
    <row r="6" spans="1:6" x14ac:dyDescent="0.25">
      <c r="A6" t="s">
        <v>44</v>
      </c>
      <c r="B6" s="18">
        <v>6440300000</v>
      </c>
      <c r="C6" s="18">
        <v>5638500000</v>
      </c>
      <c r="D6" s="18">
        <v>5908300000</v>
      </c>
      <c r="E6" s="18">
        <v>4904200000</v>
      </c>
      <c r="F6" s="8" t="s">
        <v>85</v>
      </c>
    </row>
    <row r="7" spans="1:6" x14ac:dyDescent="0.25">
      <c r="A7" t="s">
        <v>86</v>
      </c>
      <c r="B7" s="18">
        <v>783800000</v>
      </c>
      <c r="C7" s="18">
        <v>753800000</v>
      </c>
      <c r="D7" s="18">
        <v>896000000</v>
      </c>
      <c r="E7" s="18">
        <v>677400000</v>
      </c>
      <c r="F7" s="8" t="s">
        <v>87</v>
      </c>
    </row>
    <row r="8" spans="1:6" x14ac:dyDescent="0.25">
      <c r="A8" t="s">
        <v>88</v>
      </c>
      <c r="B8" s="18">
        <v>586200000</v>
      </c>
      <c r="C8" s="18">
        <v>408800000</v>
      </c>
      <c r="D8" s="18">
        <v>514100000</v>
      </c>
      <c r="E8" s="18">
        <v>418900000</v>
      </c>
      <c r="F8" s="8" t="s">
        <v>89</v>
      </c>
    </row>
    <row r="9" spans="1:6" x14ac:dyDescent="0.25">
      <c r="A9" t="s">
        <v>90</v>
      </c>
      <c r="B9" s="18">
        <v>-4258400000</v>
      </c>
      <c r="C9" s="18">
        <v>-1406800000</v>
      </c>
      <c r="D9" s="18">
        <v>-3076300000</v>
      </c>
      <c r="E9" s="18">
        <v>-802500000</v>
      </c>
      <c r="F9" s="8" t="s">
        <v>91</v>
      </c>
    </row>
    <row r="10" spans="1:6" x14ac:dyDescent="0.25">
      <c r="A10" t="s">
        <v>92</v>
      </c>
      <c r="B10" s="18">
        <v>14833900000</v>
      </c>
      <c r="C10" s="18">
        <v>13058500000</v>
      </c>
      <c r="D10" s="18">
        <v>10798700000</v>
      </c>
      <c r="E10" s="18">
        <v>9718900000</v>
      </c>
      <c r="F10" s="8" t="s">
        <v>93</v>
      </c>
    </row>
    <row r="11" spans="1:6" x14ac:dyDescent="0.25">
      <c r="A11" t="s">
        <v>94</v>
      </c>
      <c r="B11" s="18">
        <v>8573300000</v>
      </c>
      <c r="C11" s="18">
        <v>7021400000</v>
      </c>
      <c r="D11" s="18">
        <v>7320200000</v>
      </c>
      <c r="E11" s="18">
        <v>9420200000</v>
      </c>
      <c r="F11" s="8" t="s">
        <v>95</v>
      </c>
    </row>
    <row r="12" spans="1:6" x14ac:dyDescent="0.25">
      <c r="A12" t="s">
        <v>32</v>
      </c>
      <c r="B12" s="34">
        <v>23084027</v>
      </c>
      <c r="C12" s="34">
        <v>24163460</v>
      </c>
      <c r="D12" s="34">
        <v>25293235</v>
      </c>
      <c r="E12" s="34">
        <v>26378478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2026-09-19T00:06:53Z</dcterms:modified>
</cp:coreProperties>
</file>