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<sst xmlns="http://schemas.openxmlformats.org/spreadsheetml/2006/main" count="121" uniqueCount="108">
  <si>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F5, Inc. (FFIV)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</si>
  <si>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</si>
  <si>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</si>
  <si>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</si>
  <si>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</si>
  <si>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</si>
  <si>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</si>
  <si>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</si>
  <si>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</si>
  <si>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</si>
  <si>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</si>
  <si>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</si>
  <si>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</si>
  <si>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</si>
  <si>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</si>
  <si>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</si>
  <si>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</si>
  <si>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</si>
  <si>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</si>
  <si>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</si>
  <si>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</si>
  <si>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</si>
  <si>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</si>
  <si>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</si>
  <si>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</si>
  <si>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</si>
  <si>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</si>
  <si>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</si>
  <si>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</si>
  <si>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</si>
  <si>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</si>
  <si>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</si>
  <si>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</si>
  <si>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</si>
  <si>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</si>
  <si>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</si>
  <si>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</si>
  <si>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</si>
  <si>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</si>
  <si>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</si>
  <si>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</si>
  <si>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</si>
  <si>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</si>
  <si>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</si>
  <si>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</si>
  <si>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</si>
  <si>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</si>
  <si>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</si>
  <si>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</si>
  <si>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</si>
  <si>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</si>
  <si>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</si>
  <si>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</si>
  <si>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</si>
  <si>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</si>
  <si>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</si>
  <si>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</si>
  <si>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</si>
  <si>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</si>
  <si>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</si>
  <si>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</si>
  <si>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</si>
  <si>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</si>
  <si>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</si>
  <si>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</si>
  <si>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</si>
  <si>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</si>
  <si>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</si>
  <si>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</si>
  <si>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</si>
  <si>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</si>
  <si>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</si>
  <si>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</si>
  <si>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</si>
  <si>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</si>
  <si>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</si>
  <si>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</si>
  <si>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</si>
  <si>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</si>
  <si>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</si>
  <si>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</si>
  <si>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</si>
  <si>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</si>
  <si>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</si>
  <si>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</si>
  <si>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</si>
  <si>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</si>
  <si>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</si>
  <si>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</si>
  <si>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</si>
  <si>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</si>
  <si>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</si>
  <si>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</si>
  <si>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</si>
  <si>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</si>
  <si>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</si>
  <si>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</si>
  <si>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</si>
  <si>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</si>
  <si>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</si>
  <si>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</si>
  <si>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</si>
  <si>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</si>
  <si>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</si>
  <si>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</si>
  <si>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1.41% of revenue against depreciation and amortisation of 3.77%. A business cannot depreciate more than it invests indefinitely. Capex has been set to 3.77%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</si>
  <si>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20.5x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</si>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</sst>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0.20002615871650664</v>
      </c>
    </row>
    <row r="7" spans="1:2" x14ac:dyDescent="0.25">
      <c r="A7" t="s">
        <v>4</v>
      </c>
      <c r="B7" s="5">
        <v>0.2092924437086761</v>
      </c>
    </row>
    <row r="8" spans="1:2" x14ac:dyDescent="0.25">
      <c r="A8" t="s">
        <v>5</v>
      </c>
      <c r="B8" s="5">
        <v>0.17455571207341972</v>
      </c>
    </row>
    <row r="9" spans="1:2" x14ac:dyDescent="0.25">
      <c r="A9" t="s">
        <v>6</v>
      </c>
      <c r="B9" s="5">
        <v>0.03771500930124193</v>
      </c>
    </row>
    <row r="10" spans="1:3" x14ac:dyDescent="0.25">
      <c r="A10" t="s">
        <v>7</v>
      </c>
      <c r="B10" s="5">
        <v>0.03771500930124193</v>
      </c>
      <c r="C10" s="6" t="s">
        <v>8</v>
      </c>
    </row>
    <row r="11" spans="1:2" x14ac:dyDescent="0.25">
      <c r="A11" t="s">
        <v>9</v>
      </c>
      <c r="B11" s="5">
        <v>0.14653980139151696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0.16728917523840894</v>
      </c>
      <c r="C14" s="6" t="s">
        <v>13</v>
      </c>
    </row>
    <row r="15" spans="1:3" x14ac:dyDescent="0.25">
      <c r="A15" t="s">
        <v>14</v>
      </c>
      <c r="B15" s="5">
        <v>0.03771500930124193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1.0187599999999999</v>
      </c>
      <c r="C19" s="6" t="s">
        <v>21</v>
      </c>
    </row>
    <row r="20" spans="1:2" x14ac:dyDescent="0.25">
      <c r="A20" t="s">
        <v>22</v>
      </c>
      <c r="B20" s="9">
        <f>B17+B19*B18</f>
        <v>0.09203354799999999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19221434368</v>
      </c>
    </row>
    <row r="23" spans="1:2" x14ac:dyDescent="0.25">
      <c r="A23" t="s">
        <v>26</v>
      </c>
      <c r="B23" s="10">
        <v>261791000</v>
      </c>
    </row>
    <row r="24" spans="1:2" x14ac:dyDescent="0.25">
      <c r="A24" t="s">
        <v>27</v>
      </c>
      <c r="B24" s="9">
        <f>B22/(B22+B23)</f>
        <v>0.9865632617261628</v>
      </c>
    </row>
    <row r="25" spans="1:2" x14ac:dyDescent="0.25">
      <c r="A25" t="s">
        <v>28</v>
      </c>
      <c r="B25" s="9">
        <f>1-B24</f>
        <v>0.013436738273837179</v>
      </c>
    </row>
    <row r="26" spans="1:2" x14ac:dyDescent="0.25">
      <c r="A26" t="s">
        <v>29</v>
      </c>
      <c r="B26" s="11">
        <f>B24*B20+B25*B21*(1-B8)</f>
        <v>0.09156155006747871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3088072000</v>
      </c>
      <c r="C29" s="6" t="s">
        <v>32</v>
      </c>
    </row>
    <row r="30" spans="1:2" x14ac:dyDescent="0.25">
      <c r="A30" t="s">
        <v>33</v>
      </c>
      <c r="B30" s="10">
        <v>-1082482000</v>
      </c>
    </row>
    <row r="31" spans="1:2" x14ac:dyDescent="0.25">
      <c r="A31" t="s">
        <v>34</v>
      </c>
      <c r="B31" s="12">
        <v>58684000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0.20002615871650664</v>
      </c>
      <c r="C5" s="5">
        <v>0.06757762369734199</v>
      </c>
      <c r="D5" s="5">
        <v>0.06225542073517425</v>
      </c>
      <c r="E5" s="5">
        <v>0.05693321777300649</v>
      </c>
      <c r="F5" s="5">
        <v>0.05161101481083875</v>
      </c>
      <c r="G5" s="5">
        <v>0.046288811848670994</v>
      </c>
      <c r="H5" s="5">
        <v>0.04096660888650325</v>
      </c>
      <c r="I5" s="5">
        <v>0.0356444059243355</v>
      </c>
      <c r="J5" s="5">
        <v>0.030322202962167748</v>
      </c>
      <c r="K5" s="5">
        <v>0.025</v>
      </c>
    </row>
    <row r="6" spans="1:11" x14ac:dyDescent="0.25">
      <c r="A6" t="s">
        <v>50</v>
      </c>
      <c r="B6" s="18">
        <f>Assumptions!B29*(1+B5)</f>
        <v>3705767180</v>
      </c>
      <c r="C6" s="18">
        <f>B6*(1+C5)</f>
        <v>3956194120</v>
      </c>
      <c r="D6" s="18">
        <f>C6*(1+D5)</f>
        <v>4202488649.450622</v>
      </c>
      <c r="E6" s="18">
        <f>D6*(1+E5)</f>
        <v>4441749850.918382</v>
      </c>
      <c r="F6" s="18">
        <f>E6*(1+F5)</f>
        <v>4670993068.260172</v>
      </c>
      <c r="G6" s="18">
        <f>F6*(1+G5)</f>
        <v>4887207787.543314</v>
      </c>
      <c r="H6" s="18">
        <f>G6*(1+H5)</f>
        <v>5087420117.522674</v>
      </c>
      <c r="I6" s="18">
        <f>H6*(1+I5)</f>
        <v>5268758185.299282</v>
      </c>
      <c r="J6" s="18">
        <f>I6*(1+J5)</f>
        <v>5428518540.3525095</v>
      </c>
      <c r="K6" s="18">
        <f>J6*(1+K5)</f>
        <v>5564231503.861321</v>
      </c>
    </row>
    <row r="7" spans="1:11" x14ac:dyDescent="0.25">
      <c r="A7" t="s">
        <v>4</v>
      </c>
      <c r="B7" s="9">
        <f>Assumptions!B7</f>
        <v>0.2092924437086761</v>
      </c>
      <c r="C7" s="9">
        <f>Assumptions!B7</f>
        <v>0.2092924437086761</v>
      </c>
      <c r="D7" s="9">
        <f>Assumptions!B7</f>
        <v>0.2092924437086761</v>
      </c>
      <c r="E7" s="9">
        <f>Assumptions!B7</f>
        <v>0.2092924437086761</v>
      </c>
      <c r="F7" s="9">
        <f>Assumptions!B7</f>
        <v>0.2092924437086761</v>
      </c>
      <c r="G7" s="9">
        <f>Assumptions!B7</f>
        <v>0.2092924437086761</v>
      </c>
      <c r="H7" s="9">
        <f>Assumptions!B7</f>
        <v>0.2092924437086761</v>
      </c>
      <c r="I7" s="9">
        <f>Assumptions!B7</f>
        <v>0.2092924437086761</v>
      </c>
      <c r="J7" s="9">
        <f>Assumptions!B7</f>
        <v>0.2092924437086761</v>
      </c>
      <c r="K7" s="9">
        <f>Assumptions!B7</f>
        <v>0.2092924437086761</v>
      </c>
    </row>
    <row r="8" spans="1:11" x14ac:dyDescent="0.25">
      <c r="A8" t="s">
        <v>51</v>
      </c>
      <c r="B8" s="18">
        <f>B6*B7</f>
        <v>775589068.9176095</v>
      </c>
      <c r="C8" s="18">
        <f>C6*C7</f>
        <v>828001535.1606954</v>
      </c>
      <c r="D8" s="18">
        <f>D6*D7</f>
        <v>879549119.1014947</v>
      </c>
      <c r="E8" s="18">
        <f>E6*E7</f>
        <v>929624680.6413559</v>
      </c>
      <c r="F8" s="18">
        <f>F6*F7</f>
        <v>977603553.8024583</v>
      </c>
      <c r="G8" s="18">
        <f>G6*G7</f>
        <v>1022855660.7670126</v>
      </c>
      <c r="H8" s="18">
        <f>H6*H7</f>
        <v>1064758588.5690006</v>
      </c>
      <c r="I8" s="18">
        <f>I6*I7</f>
        <v>1102711275.9113765</v>
      </c>
      <c r="J8" s="18">
        <f>J6*J7</f>
        <v>1136147911.028232</v>
      </c>
      <c r="K8" s="18">
        <f>K6*K7</f>
        <v>1164551608.803938</v>
      </c>
    </row>
    <row r="9" spans="1:11" x14ac:dyDescent="0.25">
      <c r="A9" t="s">
        <v>52</v>
      </c>
      <c r="B9" s="18">
        <f>B8*(1-Assumptions!B8)</f>
        <v>640205566.7163355</v>
      </c>
      <c r="C9" s="18">
        <f>C8*(1-Assumptions!B8)</f>
        <v>683469137.5928355</v>
      </c>
      <c r="D9" s="18">
        <f>D8*(1-Assumptions!B8)</f>
        <v>726018796.3131843</v>
      </c>
      <c r="E9" s="18">
        <f>E8*(1-Assumptions!B8)</f>
        <v>767353382.5509787</v>
      </c>
      <c r="F9" s="18">
        <f>F8*(1-Assumptions!B8)</f>
        <v>806957269.3429645</v>
      </c>
      <c r="G9" s="18">
        <f>G8*(1-Assumptions!B8)</f>
        <v>844310362.5534985</v>
      </c>
      <c r="H9" s="18">
        <f>H8*(1-Assumptions!B8)</f>
        <v>878898894.9550494</v>
      </c>
      <c r="I9" s="18">
        <f>I8*(1-Assumptions!B8)</f>
        <v>910226723.933277</v>
      </c>
      <c r="J9" s="18">
        <f>J8*(1-Assumptions!B8)</f>
        <v>937826803.3979708</v>
      </c>
      <c r="K9" s="18">
        <f>K8*(1-Assumptions!B8)</f>
        <v>961272473.48292</v>
      </c>
    </row>
    <row r="10" spans="1:11" x14ac:dyDescent="0.25">
      <c r="A10" t="s">
        <v>53</v>
      </c>
      <c r="B10" s="18">
        <f>B6*Assumptions!B9</f>
        <v>139763043.66193706</v>
      </c>
      <c r="C10" s="18">
        <f>C6*Assumptions!B9</f>
        <v>149207898.03331864</v>
      </c>
      <c r="D10" s="18">
        <f>D6*Assumptions!B9</f>
        <v>158496898.50239384</v>
      </c>
      <c r="E10" s="18">
        <f>E6*Assumptions!B9</f>
        <v>167520636.9411767</v>
      </c>
      <c r="F10" s="18">
        <f>F6*Assumptions!B9</f>
        <v>176166547.01546896</v>
      </c>
      <c r="G10" s="18">
        <f>G6*Assumptions!B9</f>
        <v>184321087.16429806</v>
      </c>
      <c r="H10" s="18">
        <f>H6*Assumptions!B9</f>
        <v>191872097.05169293</v>
      </c>
      <c r="I10" s="18">
        <f>I6*Assumptions!B9</f>
        <v>198711263.96455696</v>
      </c>
      <c r="J10" s="18">
        <f>J6*Assumptions!B9</f>
        <v>204736627.24135914</v>
      </c>
      <c r="K10" s="18">
        <f>K6*Assumptions!B9</f>
        <v>209855042.9223931</v>
      </c>
    </row>
    <row r="11" spans="1:11" x14ac:dyDescent="0.25">
      <c r="A11" t="s">
        <v>54</v>
      </c>
      <c r="B11" s="18">
        <f>-B6*B19</f>
        <v>-139763043.66193706</v>
      </c>
      <c r="C11" s="18">
        <f>-C6*C19</f>
        <v>-160556662.10903764</v>
      </c>
      <c r="D11" s="18">
        <f>-D6*D19</f>
        <v>-182607470.81854814</v>
      </c>
      <c r="E11" s="18">
        <f>-E6*E19</f>
        <v>-205745534.1118693</v>
      </c>
      <c r="F11" s="18">
        <f>-F6*F19</f>
        <v>-229763510.8884183</v>
      </c>
      <c r="G11" s="18">
        <f>-G6*G19</f>
        <v>-254418466.72595346</v>
      </c>
      <c r="H11" s="18">
        <f>-H6*H19</f>
        <v>-279434934.8446447</v>
      </c>
      <c r="I11" s="18">
        <f>-I6*I19</f>
        <v>-304509220.94620925</v>
      </c>
      <c r="J11" s="18">
        <f>-J6*J19</f>
        <v>-329314894.7913392</v>
      </c>
      <c r="K11" s="18">
        <f>-K6*K19</f>
        <v>-353509357.69096386</v>
      </c>
    </row>
    <row r="12" spans="1:11" x14ac:dyDescent="0.25">
      <c r="A12" t="s">
        <v>55</v>
      </c>
      <c r="B12" s="18">
        <f>-(B6-Assumptions!B29)*Assumptions!B11</f>
        <v>-90516928.99769731</v>
      </c>
      <c r="C12" s="18">
        <f>-(C6-B6)*Assumptions!B11</f>
        <v>-36697514.05068533</v>
      </c>
      <c r="D12" s="18">
        <f>-(D6-C6)*Assumptions!B11</f>
        <v>-36091951.42951129</v>
      </c>
      <c r="E12" s="18">
        <f>-(E6-D6)*Assumptions!B11</f>
        <v>-35061288.94378122</v>
      </c>
      <c r="F12" s="18">
        <f>-(F6-E6)*Assumptions!B11</f>
        <v>-33593255.53961829</v>
      </c>
      <c r="G12" s="18">
        <f>-(G6-F6)*Assumptions!B11</f>
        <v>-31684062.021674234</v>
      </c>
      <c r="H12" s="18">
        <f>-(H6-G6)*Assumptions!B11</f>
        <v>-29339075.071308214</v>
      </c>
      <c r="I12" s="18">
        <f>-(I6-H6)*Assumptions!B11</f>
        <v>-26573244.436705645</v>
      </c>
      <c r="J12" s="18">
        <f>-(J6-I6)*Assumptions!B11</f>
        <v>-23411250.69973818</v>
      </c>
      <c r="K12" s="18">
        <f>-(K6-J6)*Assumptions!B11</f>
        <v>-19887350.71883549</v>
      </c>
    </row>
    <row r="13" spans="1:11" x14ac:dyDescent="0.25">
      <c r="A13" s="19" t="s">
        <v>56</v>
      </c>
      <c r="B13" s="20">
        <f>B9+B10+B11+B12</f>
        <v>549688637.7186382</v>
      </c>
      <c r="C13" s="20">
        <f>C9+C10+C11+C12</f>
        <v>635422859.4664313</v>
      </c>
      <c r="D13" s="20">
        <f>D9+D10+D11+D12</f>
        <v>665816272.5675187</v>
      </c>
      <c r="E13" s="20">
        <f>E9+E10+E11+E12</f>
        <v>694067196.4365047</v>
      </c>
      <c r="F13" s="20">
        <f>F9+F10+F11+F12</f>
        <v>719767049.9303969</v>
      </c>
      <c r="G13" s="20">
        <f>G9+G10+G11+G12</f>
        <v>742528920.9701688</v>
      </c>
      <c r="H13" s="20">
        <f>H9+H10+H11+H12</f>
        <v>761996982.0907894</v>
      </c>
      <c r="I13" s="20">
        <f>I9+I10+I11+I12</f>
        <v>777855522.5149193</v>
      </c>
      <c r="J13" s="20">
        <f>J9+J10+J11+J12</f>
        <v>789837285.1482526</v>
      </c>
      <c r="K13" s="20">
        <f>K9+K10+K11+K12</f>
        <v>797730807.9955139</v>
      </c>
    </row>
    <row r="14" spans="1:11" x14ac:dyDescent="0.25">
      <c r="A14" t="s">
        <v>57</v>
      </c>
      <c r="B14" s="21">
        <f>1/(1+Assumptions!$B$26)^(1-0.5*Assumptions!$B$32)</f>
        <v>0.9571409235001088</v>
      </c>
      <c r="C14" s="21">
        <f>1/(1+Assumptions!$B$26)^(2-0.5*Assumptions!$B$32)</f>
        <v>0.8768547439591837</v>
      </c>
      <c r="D14" s="21">
        <f>1/(1+Assumptions!$B$26)^(3-0.5*Assumptions!$B$32)</f>
        <v>0.8033030697215177</v>
      </c>
      <c r="E14" s="21">
        <f>1/(1+Assumptions!$B$26)^(4-0.5*Assumptions!$B$32)</f>
        <v>0.735921002046892</v>
      </c>
      <c r="F14" s="21">
        <f>1/(1+Assumptions!$B$26)^(5-0.5*Assumptions!$B$32)</f>
        <v>0.6741910266089883</v>
      </c>
      <c r="G14" s="21">
        <f>1/(1+Assumptions!$B$26)^(6-0.5*Assumptions!$B$32)</f>
        <v>0.6176390388313979</v>
      </c>
      <c r="H14" s="21">
        <f>1/(1+Assumptions!$B$26)^(7-0.5*Assumptions!$B$32)</f>
        <v>0.5658307026234264</v>
      </c>
      <c r="I14" s="21">
        <f>1/(1+Assumptions!$B$26)^(8-0.5*Assumptions!$B$32)</f>
        <v>0.5183681145496996</v>
      </c>
      <c r="J14" s="21">
        <f>1/(1+Assumptions!$B$26)^(9-0.5*Assumptions!$B$32)</f>
        <v>0.47488674781340073</v>
      </c>
      <c r="K14" s="21">
        <f>1/(1+Assumptions!$B$26)^(10-0.5*Assumptions!$B$32)</f>
        <v>0.43505265258202247</v>
      </c>
    </row>
    <row r="15" spans="1:11" x14ac:dyDescent="0.25">
      <c r="A15" s="19" t="s">
        <v>58</v>
      </c>
      <c r="B15" s="20">
        <f>B13*B14</f>
        <v>526129490.3435341</v>
      </c>
      <c r="C15" s="20">
        <f>C13*C14</f>
        <v>557173548.74325</v>
      </c>
      <c r="D15" s="20">
        <f>D13*D14</f>
        <v>534852255.6240265</v>
      </c>
      <c r="E15" s="20">
        <f>E13*E14</f>
        <v>510778626.6894296</v>
      </c>
      <c r="F15" s="20">
        <f>F13*F14</f>
        <v>485260486.3118973</v>
      </c>
      <c r="G15" s="20">
        <f>G13*G14</f>
        <v>458614849.0525301</v>
      </c>
      <c r="H15" s="20">
        <f>H13*H14</f>
        <v>431161287.77336186</v>
      </c>
      <c r="I15" s="20">
        <f>I13*I14</f>
        <v>403215500.5981301</v>
      </c>
      <c r="J15" s="20">
        <f>J13*J14</f>
        <v>375083259.6458193</v>
      </c>
      <c r="K15" s="20">
        <f>K13*K14</f>
        <v>347054904.06484836</v>
      </c>
    </row>
    <row r="17" spans="1:2" x14ac:dyDescent="0.25">
      <c r="A17" s="22" t="s">
        <v>59</v>
      </c>
      <c r="B17" s="23">
        <f>SUM(B15:K15)</f>
        <v>4629324208.846827</v>
      </c>
    </row>
    <row r="19" spans="1:11" x14ac:dyDescent="0.25">
      <c r="A19" t="s">
        <v>7</v>
      </c>
      <c r="B19" s="9">
        <f>Assumptions!$B$10+($B$20-Assumptions!$B$10)*0/9</f>
        <v>0.03771500930124193</v>
      </c>
      <c r="C19" s="9">
        <f>Assumptions!$B$10+($B$20-Assumptions!$B$10)*1/9</f>
        <v>0.04058361577794308</v>
      </c>
      <c r="D19" s="9">
        <f>Assumptions!$B$10+($B$20-Assumptions!$B$10)*2/9</f>
        <v>0.04345222225464424</v>
      </c>
      <c r="E19" s="9">
        <f>Assumptions!$B$10+($B$20-Assumptions!$B$10)*3/9</f>
        <v>0.046320828731345395</v>
      </c>
      <c r="F19" s="9">
        <f>Assumptions!$B$10+($B$20-Assumptions!$B$10)*4/9</f>
        <v>0.04918943520804655</v>
      </c>
      <c r="G19" s="9">
        <f>Assumptions!$B$10+($B$20-Assumptions!$B$10)*5/9</f>
        <v>0.05205804168474771</v>
      </c>
      <c r="H19" s="9">
        <f>Assumptions!$B$10+($B$20-Assumptions!$B$10)*6/9</f>
        <v>0.05492664816144886</v>
      </c>
      <c r="I19" s="9">
        <f>Assumptions!$B$10+($B$20-Assumptions!$B$10)*7/9</f>
        <v>0.05779525463815002</v>
      </c>
      <c r="J19" s="9">
        <f>Assumptions!$B$10+($B$20-Assumptions!$B$10)*8/9</f>
        <v>0.06066386111485117</v>
      </c>
      <c r="K19" s="9">
        <f>Assumptions!$B$10+($B$20-Assumptions!$B$10)*9/9</f>
        <v>0.06353246759155233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0.06353246759155233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797730807.9955139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961272473.48292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0.14944182708995804</v>
      </c>
    </row>
    <row r="7" spans="1:2" x14ac:dyDescent="0.25">
      <c r="A7" t="s">
        <v>66</v>
      </c>
      <c r="B7" s="18">
        <f>-MAX(B5,0)*B6</f>
        <v>-143654314.7685708</v>
      </c>
    </row>
    <row r="8" spans="1:2" x14ac:dyDescent="0.25">
      <c r="A8" t="s">
        <v>67</v>
      </c>
      <c r="B8" s="18">
        <f>IF(OR(Assumptions!$B$33=0,Assumptions!B12&lt;=0),B5,MAX(B5+B7,0))</f>
        <v>817618158.7143493</v>
      </c>
    </row>
    <row r="9" spans="1:2" x14ac:dyDescent="0.25">
      <c r="A9" t="s">
        <v>68</v>
      </c>
      <c r="B9" s="18">
        <f>B8*(1+Assumptions!B12)/(Assumptions!B26-Assumptions!B12)</f>
        <v>12590731613.560705</v>
      </c>
    </row>
    <row r="10" spans="1:2" x14ac:dyDescent="0.25">
      <c r="A10" t="s">
        <v>69</v>
      </c>
      <c r="B10" s="18">
        <f>B9/(1+Assumptions!B26)^(10-0.5*Assumptions!B32)</f>
        <v>5477631186.427913</v>
      </c>
    </row>
    <row r="11" spans="1:2" x14ac:dyDescent="0.25">
      <c r="A11" t="s">
        <v>70</v>
      </c>
      <c r="B11" s="18">
        <f>Forecast!B17+B10</f>
        <v>10106955395.274738</v>
      </c>
    </row>
    <row r="12" spans="1:2" x14ac:dyDescent="0.25">
      <c r="A12" t="s">
        <v>71</v>
      </c>
      <c r="B12" s="18">
        <f>-Assumptions!B30</f>
        <v>1082482000</v>
      </c>
    </row>
    <row r="13" spans="1:2" x14ac:dyDescent="0.25">
      <c r="A13" t="s">
        <v>72</v>
      </c>
      <c r="B13" s="18">
        <f>B11+B12</f>
        <v>11189437395.274738</v>
      </c>
    </row>
    <row r="14" spans="1:2" x14ac:dyDescent="0.25">
      <c r="A14" s="19" t="s">
        <v>73</v>
      </c>
      <c r="B14" s="24">
        <f>B13/Assumptions!B31</f>
        <v>190.67271139109022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1374406651.726331</v>
      </c>
    </row>
    <row r="18" spans="1:2" x14ac:dyDescent="0.25">
      <c r="A18" t="s">
        <v>68</v>
      </c>
      <c r="B18" s="18">
        <f>B17*Assumptions!B13</f>
        <v>27488133034.52662</v>
      </c>
    </row>
    <row r="19" spans="1:2" x14ac:dyDescent="0.25">
      <c r="A19" t="s">
        <v>69</v>
      </c>
      <c r="B19" s="18">
        <f>B18/(1+Assumptions!B26)^(10-0.5*Assumptions!B32)</f>
        <v>11958785191.198324</v>
      </c>
    </row>
    <row r="20" spans="1:2" x14ac:dyDescent="0.25">
      <c r="A20" t="s">
        <v>70</v>
      </c>
      <c r="B20" s="18">
        <f>Forecast!B17+B19</f>
        <v>16588109400.04515</v>
      </c>
    </row>
    <row r="21" spans="1:2" x14ac:dyDescent="0.25">
      <c r="A21" t="s">
        <v>71</v>
      </c>
      <c r="B21" s="18">
        <f>-Assumptions!B30</f>
        <v>1082482000</v>
      </c>
    </row>
    <row r="22" spans="1:2" x14ac:dyDescent="0.25">
      <c r="A22" t="s">
        <v>72</v>
      </c>
      <c r="B22" s="18">
        <f>B20+B21</f>
        <v>17670591400.04515</v>
      </c>
    </row>
    <row r="23" spans="1:2" x14ac:dyDescent="0.25">
      <c r="A23" s="19" t="s">
        <v>73</v>
      </c>
      <c r="B23" s="25">
        <f>B22/Assumptions!B31</f>
        <v>301.1142969130453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338.34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190.67271139109022</v>
      </c>
    </row>
    <row r="29" spans="1:2" x14ac:dyDescent="0.25">
      <c r="A29" s="19" t="s">
        <v>81</v>
      </c>
      <c r="B29" s="11">
        <f>B28/B26-1</f>
        <v>-0.43644644029352064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0.071562</v>
      </c>
      <c r="B5" s="31">
        <v>246.0033440721398</v>
      </c>
      <c r="C5" s="31">
        <v>253.78903020779563</v>
      </c>
      <c r="D5" s="31">
        <v>263.49263852558084</v>
      </c>
      <c r="E5" s="31">
        <v>275.8063597942734</v>
      </c>
      <c r="F5" s="31">
        <v>291.801024227308</v>
      </c>
    </row>
    <row r="6" spans="1:6" x14ac:dyDescent="0.25">
      <c r="A6" s="30">
        <v>0.081562</v>
      </c>
      <c r="B6" s="31">
        <v>211.35473489306617</v>
      </c>
      <c r="C6" s="31">
        <v>215.53249175737565</v>
      </c>
      <c r="D6" s="31">
        <v>220.6401707093922</v>
      </c>
      <c r="E6" s="31">
        <v>226.94829716154376</v>
      </c>
      <c r="F6" s="31">
        <v>234.8435966089126</v>
      </c>
    </row>
    <row r="7" spans="1:6" x14ac:dyDescent="0.25">
      <c r="A7" s="30">
        <v>0.091562</v>
      </c>
      <c r="B7" s="31">
        <v>185.80962095235387</v>
      </c>
      <c r="C7" s="31">
        <v>187.999204526706</v>
      </c>
      <c r="D7" s="32">
        <v>190.67156573921946</v>
      </c>
      <c r="E7" s="31">
        <v>193.94433664493505</v>
      </c>
      <c r="F7" s="31">
        <v>197.97674332139653</v>
      </c>
    </row>
    <row r="8" spans="1:6" x14ac:dyDescent="0.25">
      <c r="A8" s="30">
        <v>0.101562</v>
      </c>
      <c r="B8" s="31">
        <v>166.20933914694376</v>
      </c>
      <c r="C8" s="31">
        <v>167.24270970093028</v>
      </c>
      <c r="D8" s="31">
        <v>168.5376993694642</v>
      </c>
      <c r="E8" s="31">
        <v>170.14914573000587</v>
      </c>
      <c r="F8" s="31">
        <v>172.14836350236715</v>
      </c>
    </row>
    <row r="9" spans="1:6" x14ac:dyDescent="0.25">
      <c r="A9" s="30">
        <v>0.111562</v>
      </c>
      <c r="B9" s="31">
        <v>150.70397283249906</v>
      </c>
      <c r="C9" s="31">
        <v>151.04079702432546</v>
      </c>
      <c r="D9" s="31">
        <v>151.52270230586436</v>
      </c>
      <c r="E9" s="31">
        <v>152.17637042039925</v>
      </c>
      <c r="F9" s="31">
        <v>153.03545308150788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3088072000</v>
      </c>
      <c r="C5" s="18">
        <v>2816120000</v>
      </c>
      <c r="D5" s="18">
        <v>2813169000</v>
      </c>
      <c r="E5" s="18">
        <v>2695845000</v>
      </c>
      <c r="F5" s="6" t="s">
        <v>91</v>
      </c>
    </row>
    <row r="6" spans="1:6" x14ac:dyDescent="0.25">
      <c r="A6" t="s">
        <v>51</v>
      </c>
      <c r="B6" s="18">
        <v>791433000</v>
      </c>
      <c r="C6" s="18">
        <v>667246000</v>
      </c>
      <c r="D6" s="18">
        <v>537956000</v>
      </c>
      <c r="E6" s="18">
        <v>411701000</v>
      </c>
      <c r="F6" s="6" t="s">
        <v>92</v>
      </c>
    </row>
    <row r="7" spans="1:6" x14ac:dyDescent="0.25">
      <c r="A7" t="s">
        <v>93</v>
      </c>
      <c r="B7" s="18">
        <v>92399000</v>
      </c>
      <c r="C7" s="18">
        <v>106991000</v>
      </c>
      <c r="D7" s="18">
        <v>112702000</v>
      </c>
      <c r="E7" s="18">
        <v>115609000</v>
      </c>
      <c r="F7" s="6" t="s">
        <v>94</v>
      </c>
    </row>
    <row r="8" spans="1:6" x14ac:dyDescent="0.25">
      <c r="A8" t="s">
        <v>95</v>
      </c>
      <c r="B8" s="18">
        <v>43260000</v>
      </c>
      <c r="C8" s="18">
        <v>30412000</v>
      </c>
      <c r="D8" s="18">
        <v>54184000</v>
      </c>
      <c r="E8" s="18">
        <v>33624000</v>
      </c>
      <c r="F8" s="6" t="s">
        <v>96</v>
      </c>
    </row>
    <row r="9" spans="1:6" x14ac:dyDescent="0.25">
      <c r="A9" t="s">
        <v>97</v>
      </c>
      <c r="B9" s="18">
        <v>31546000</v>
      </c>
      <c r="C9" s="18">
        <v>64014000</v>
      </c>
      <c r="D9" s="18">
        <v>25725000</v>
      </c>
      <c r="E9" s="18">
        <v>250287000</v>
      </c>
      <c r="F9" s="6" t="s">
        <v>98</v>
      </c>
    </row>
    <row r="10" spans="1:6" x14ac:dyDescent="0.25">
      <c r="A10" t="s">
        <v>99</v>
      </c>
      <c r="B10" s="18">
        <v>261791000</v>
      </c>
      <c r="C10" s="18">
        <v>249564000</v>
      </c>
      <c r="D10" s="18">
        <v>280986000</v>
      </c>
      <c r="E10" s="18">
        <v>664671000</v>
      </c>
      <c r="F10" s="6" t="s">
        <v>100</v>
      </c>
    </row>
    <row r="11" spans="1:6" x14ac:dyDescent="0.25">
      <c r="A11" t="s">
        <v>101</v>
      </c>
      <c r="B11" s="18">
        <v>1344273000</v>
      </c>
      <c r="C11" s="18">
        <v>1074602000</v>
      </c>
      <c r="D11" s="18">
        <v>803323000</v>
      </c>
      <c r="E11" s="18">
        <v>884566000</v>
      </c>
      <c r="F11" s="6" t="s">
        <v>102</v>
      </c>
    </row>
    <row r="12" spans="1:6" x14ac:dyDescent="0.25">
      <c r="A12" t="s">
        <v>34</v>
      </c>
      <c r="B12" s="34">
        <v>58684000</v>
      </c>
      <c r="C12" s="34">
        <v>59359000</v>
      </c>
      <c r="D12" s="34">
        <v>60270000</v>
      </c>
      <c r="E12" s="34">
        <v>59860000</v>
      </c>
      <c r="F12" s="6" t="s">
        <v>103</v>
      </c>
    </row>
    <row r="15" spans="1:1" x14ac:dyDescent="0.25">
      <c r="A15" s="19" t="s">
        <v>104</v>
      </c>
    </row>
    <row r="16" ht="70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