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<sst xmlns="http://schemas.openxmlformats.org/spreadsheetml/2006/main" count="113" uniqueCount="101">
  <si>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F5, Inc. (FFIV)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</si>
  <si>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</si>
  <si>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</si>
  <si>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</si>
  <si>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</si>
  <si>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</si>
  <si>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</si>
  <si>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</si>
  <si>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</si>
  <si>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</si>
  <si>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</si>
  <si>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</si>
  <si>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</si>
  <si>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</si>
  <si>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</si>
  <si>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</si>
  <si>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</si>
  <si>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</si>
  <si>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</si>
  <si>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</si>
  <si>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</si>
  <si>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</si>
  <si>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</si>
  <si>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</si>
  <si>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</si>
  <si>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</si>
  <si>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</si>
  <si>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</si>
  <si>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</si>
  <si>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</si>
  <si>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</si>
  <si>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</si>
  <si>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</si>
  <si>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</si>
  <si>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</si>
  <si>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</si>
  <si>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</si>
  <si>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</si>
  <si>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</si>
  <si>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</si>
  <si>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</si>
  <si>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</si>
  <si>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</si>
  <si>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</si>
  <si>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</si>
  <si>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</si>
  <si>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</si>
  <si>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</si>
  <si>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</si>
  <si>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</si>
  <si>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</si>
  <si>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</si>
  <si>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</si>
  <si>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</si>
  <si>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</si>
  <si>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</si>
  <si>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</si>
  <si>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</si>
  <si>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</si>
  <si>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</si>
  <si>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</si>
  <si>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</si>
  <si>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</si>
  <si>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</si>
  <si>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</si>
  <si>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</si>
  <si>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</si>
  <si>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</si>
  <si>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</si>
  <si>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</si>
  <si>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</si>
  <si>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</si>
  <si>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</si>
  <si>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</si>
  <si>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</si>
  <si>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</si>
  <si>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</si>
  <si>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</si>
  <si>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</si>
  <si>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</si>
  <si>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</si>
  <si>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</si>
  <si>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</si>
  <si>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</si>
  <si>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</si>
  <si>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</si>
  <si>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</si>
  <si>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</si>
  <si>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</si>
  <si>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</si>
  <si>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</si>
  <si>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</si>
  <si>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</si>
  <si>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</si>
  <si>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</si>
  <si>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</si>
  <si>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</si>
  <si>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</si>
  <si>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1.41% of revenue against depreciation and amortisation of 3.77%. A business cannot depreciate more than it invests indefinitely. Capex has been set to 3.77%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</si>
  <si>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26.5x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</si>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</sst>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0.04631913174341684</v>
      </c>
    </row>
    <row r="7" spans="1:2" x14ac:dyDescent="0.25">
      <c r="A7" t="s">
        <v>5</v>
      </c>
      <c r="B7" s="6">
        <v>0.2092924437086761</v>
      </c>
    </row>
    <row r="8" spans="1:2" x14ac:dyDescent="0.25">
      <c r="A8" t="s">
        <v>6</v>
      </c>
      <c r="B8" s="6">
        <v>0.17455571207341972</v>
      </c>
    </row>
    <row r="9" spans="1:2" x14ac:dyDescent="0.25">
      <c r="A9" t="s">
        <v>7</v>
      </c>
      <c r="B9" s="6">
        <v>0.03771500930124193</v>
      </c>
    </row>
    <row r="10" spans="1:2" x14ac:dyDescent="0.25">
      <c r="A10" t="s">
        <v>8</v>
      </c>
      <c r="B10" s="6">
        <v>0.03771500930124193</v>
      </c>
    </row>
    <row r="11" spans="1:2" x14ac:dyDescent="0.25">
      <c r="A11" t="s">
        <v>9</v>
      </c>
      <c r="B11" s="6">
        <v>0.219264600593229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0.16728917523840894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1.0201</v>
      </c>
      <c r="C19" s="8" t="s">
        <v>19</v>
      </c>
    </row>
    <row r="20" spans="1:2" x14ac:dyDescent="0.25">
      <c r="A20" t="s">
        <v>20</v>
      </c>
      <c r="B20" s="10">
        <f>B17+B19*B18</f>
        <v>0.1060855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24464642048</v>
      </c>
    </row>
    <row r="23" spans="1:2" x14ac:dyDescent="0.25">
      <c r="A23" t="s">
        <v>24</v>
      </c>
      <c r="B23" s="11">
        <v>261791000</v>
      </c>
    </row>
    <row r="24" spans="1:2" x14ac:dyDescent="0.25">
      <c r="A24" t="s">
        <v>25</v>
      </c>
      <c r="B24" s="10">
        <f>B22/(B22+B23)</f>
        <v>0.9894125044444623</v>
      </c>
    </row>
    <row r="25" spans="1:2" x14ac:dyDescent="0.25">
      <c r="A25" t="s">
        <v>26</v>
      </c>
      <c r="B25" s="10">
        <f>1-B24</f>
        <v>0.01058749555553773</v>
      </c>
    </row>
    <row r="26" spans="1:2" x14ac:dyDescent="0.25">
      <c r="A26" t="s">
        <v>27</v>
      </c>
      <c r="B26" s="12">
        <f>B24*B20+B25*B21*(1-B8)</f>
        <v>0.10557390259357208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3088072000</v>
      </c>
      <c r="C29" s="8" t="s">
        <v>30</v>
      </c>
    </row>
    <row r="30" spans="1:2" x14ac:dyDescent="0.25">
      <c r="A30" t="s">
        <v>31</v>
      </c>
      <c r="B30" s="11">
        <v>-1082482000</v>
      </c>
    </row>
    <row r="31" spans="1:2" x14ac:dyDescent="0.25">
      <c r="A31" t="s">
        <v>32</v>
      </c>
      <c r="B31" s="13">
        <v>58684000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0.04631913174341684</v>
      </c>
      <c r="C5" s="10">
        <f>Assumptions!B6</f>
        <v>0.04631913174341684</v>
      </c>
      <c r="D5" s="10">
        <f>Assumptions!B6</f>
        <v>0.04631913174341684</v>
      </c>
      <c r="E5" s="10">
        <f>Assumptions!B6</f>
        <v>0.04631913174341684</v>
      </c>
      <c r="F5" s="10">
        <f>Assumptions!B6</f>
        <v>0.04631913174341684</v>
      </c>
    </row>
    <row r="6" spans="1:6" x14ac:dyDescent="0.25">
      <c r="A6" t="s">
        <v>43</v>
      </c>
      <c r="B6" s="18">
        <f>Assumptions!B29*(1+B5)</f>
        <v>3231108813.8011565</v>
      </c>
      <c r="C6" s="18">
        <f>B6*(1+C5)</f>
        <v>3380770968.6249275</v>
      </c>
      <c r="D6" s="18">
        <f>C6*(1+D5)</f>
        <v>3537365344.5149846</v>
      </c>
      <c r="E6" s="18">
        <f>D6*(1+E5)</f>
        <v>3701213035.9321713</v>
      </c>
      <c r="F6" s="18">
        <f>E6*(1+F5)</f>
        <v>3872650010.1539655</v>
      </c>
    </row>
    <row r="7" spans="1:6" x14ac:dyDescent="0.25">
      <c r="A7" t="s">
        <v>5</v>
      </c>
      <c r="B7" s="10">
        <f>Assumptions!B7</f>
        <v>0.2092924437086761</v>
      </c>
      <c r="C7" s="10">
        <f>Assumptions!B7</f>
        <v>0.2092924437086761</v>
      </c>
      <c r="D7" s="10">
        <f>Assumptions!B7</f>
        <v>0.2092924437086761</v>
      </c>
      <c r="E7" s="10">
        <f>Assumptions!B7</f>
        <v>0.2092924437086761</v>
      </c>
      <c r="F7" s="10">
        <f>Assumptions!B7</f>
        <v>0.2092924437086761</v>
      </c>
    </row>
    <row r="8" spans="1:6" x14ac:dyDescent="0.25">
      <c r="A8" t="s">
        <v>44</v>
      </c>
      <c r="B8" s="18">
        <f>B6*B7</f>
        <v>676246659.5290858</v>
      </c>
      <c r="C8" s="18">
        <f>C6*C7</f>
        <v>707569817.6428591</v>
      </c>
      <c r="D8" s="18">
        <f>D6*D7</f>
        <v>740343837.2439241</v>
      </c>
      <c r="E8" s="18">
        <f>E6*E7</f>
        <v>774635920.9766521</v>
      </c>
      <c r="F8" s="18">
        <f>F6*F7</f>
        <v>810516384.2535528</v>
      </c>
    </row>
    <row r="9" spans="1:6" x14ac:dyDescent="0.25">
      <c r="A9" t="s">
        <v>45</v>
      </c>
      <c r="B9" s="18">
        <f>B8*(1-Assumptions!B8)</f>
        <v>558203942.3377148</v>
      </c>
      <c r="C9" s="18">
        <f>C8*(1-Assumptions!B8)</f>
        <v>584059464.2825501</v>
      </c>
      <c r="D9" s="18">
        <f>D8*(1-Assumptions!B8)</f>
        <v>611112591.554643</v>
      </c>
      <c r="E9" s="18">
        <f>E8*(1-Assumptions!B8)</f>
        <v>639418796.1929233</v>
      </c>
      <c r="F9" s="18">
        <f>F8*(1-Assumptions!B8)</f>
        <v>669036119.6530005</v>
      </c>
    </row>
    <row r="10" spans="1:6" x14ac:dyDescent="0.25">
      <c r="A10" t="s">
        <v>46</v>
      </c>
      <c r="B10" s="18">
        <f>B6*Assumptions!B9</f>
        <v>121861298.96583539</v>
      </c>
      <c r="C10" s="18">
        <f>C6*Assumptions!B9</f>
        <v>127505808.52705783</v>
      </c>
      <c r="D10" s="18">
        <f>D6*Assumptions!B9</f>
        <v>133411766.8702735</v>
      </c>
      <c r="E10" s="18">
        <f>E6*Assumptions!B9</f>
        <v>139591284.07605973</v>
      </c>
      <c r="F10" s="18">
        <f>F6*Assumptions!B9</f>
        <v>146057031.15341145</v>
      </c>
    </row>
    <row r="11" spans="1:6" x14ac:dyDescent="0.25">
      <c r="A11" t="s">
        <v>47</v>
      </c>
      <c r="B11" s="18">
        <f>-B6*Assumptions!B10</f>
        <v>-121861298.96583539</v>
      </c>
      <c r="C11" s="18">
        <f>-C6*Assumptions!B10</f>
        <v>-127505808.52705783</v>
      </c>
      <c r="D11" s="18">
        <f>-D6*Assumptions!B10</f>
        <v>-133411766.8702735</v>
      </c>
      <c r="E11" s="18">
        <f>-E6*Assumptions!B10</f>
        <v>-139591284.07605973</v>
      </c>
      <c r="F11" s="18">
        <f>-F6*Assumptions!B10</f>
        <v>-146057031.15341145</v>
      </c>
    </row>
    <row r="12" spans="1:6" x14ac:dyDescent="0.25">
      <c r="A12" t="s">
        <v>48</v>
      </c>
      <c r="B12" s="18">
        <f>-(B6-Assumptions!B29)*Assumptions!B11</f>
        <v>-31362909.84823865</v>
      </c>
      <c r="C12" s="18">
        <f>-(C6-B6)*Assumptions!B11</f>
        <v>-32815612.60135615</v>
      </c>
      <c r="D12" s="18">
        <f>-(D6-C6)*Assumptions!B11</f>
        <v>-34335603.28467934</v>
      </c>
      <c r="E12" s="18">
        <f>-(E6-D6)*Assumptions!B11</f>
        <v>-35925998.616712086</v>
      </c>
      <c r="F12" s="18">
        <f>-(F6-E6)*Assumptions!B11</f>
        <v>-37590059.679653384</v>
      </c>
    </row>
    <row r="13" spans="1:6" x14ac:dyDescent="0.25">
      <c r="A13" s="19" t="s">
        <v>49</v>
      </c>
      <c r="B13" s="20">
        <f>B9+B10+B11+B12</f>
        <v>526841032.48947626</v>
      </c>
      <c r="C13" s="20">
        <f>C9+C10+C11+C12</f>
        <v>551243851.681194</v>
      </c>
      <c r="D13" s="20">
        <f>D9+D10+D11+D12</f>
        <v>576776988.2699637</v>
      </c>
      <c r="E13" s="20">
        <f>E9+E10+E11+E12</f>
        <v>603492797.5762112</v>
      </c>
      <c r="F13" s="20">
        <f>F9+F10+F11+F12</f>
        <v>631446059.9733472</v>
      </c>
    </row>
    <row r="14" spans="1:6" x14ac:dyDescent="0.25">
      <c r="A14" t="s">
        <v>50</v>
      </c>
      <c r="B14" s="21">
        <f>1/(1+Assumptions!$B$26)^(1-0.5*Assumptions!$B$32)</f>
        <v>0.9510560459197821</v>
      </c>
      <c r="C14" s="21">
        <f>1/(1+Assumptions!$B$26)^(2-0.5*Assumptions!$B$32)</f>
        <v>0.8602374239195538</v>
      </c>
      <c r="D14" s="21">
        <f>1/(1+Assumptions!$B$26)^(3-0.5*Assumptions!$B$32)</f>
        <v>0.7780912898735383</v>
      </c>
      <c r="E14" s="21">
        <f>1/(1+Assumptions!$B$26)^(4-0.5*Assumptions!$B$32)</f>
        <v>0.7037894871145289</v>
      </c>
      <c r="F14" s="21">
        <f>1/(1+Assumptions!$B$26)^(5-0.5*Assumptions!$B$32)</f>
        <v>0.636582941640993</v>
      </c>
    </row>
    <row r="15" spans="1:6" x14ac:dyDescent="0.25">
      <c r="A15" s="19" t="s">
        <v>51</v>
      </c>
      <c r="B15" s="20">
        <f>B13*B14</f>
        <v>501055349.18773675</v>
      </c>
      <c r="C15" s="20">
        <f>C13*C14</f>
        <v>474200590.9217229</v>
      </c>
      <c r="D15" s="20">
        <f>D13*D14</f>
        <v>448785150.7723507</v>
      </c>
      <c r="E15" s="20">
        <f>E13*E14</f>
        <v>424731886.4834739</v>
      </c>
      <c r="F15" s="20">
        <f>F13*F14</f>
        <v>401967790.34544826</v>
      </c>
    </row>
    <row r="17" spans="1:2" x14ac:dyDescent="0.25">
      <c r="A17" s="22" t="s">
        <v>52</v>
      </c>
      <c r="B17" s="23">
        <f>SUM(B15:F15)</f>
        <v>2250740767.7107325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631446059.9733472</v>
      </c>
    </row>
    <row r="5" spans="1:2" x14ac:dyDescent="0.25">
      <c r="A5" t="s">
        <v>56</v>
      </c>
      <c r="B5" s="18">
        <f>IF(Assumptions!$B$33=0,B4,B4-Forecast!F11-Forecast!F10-Forecast!F12)</f>
        <v>669036119.6530005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0.14944182708995804</v>
      </c>
    </row>
    <row r="7" spans="1:2" x14ac:dyDescent="0.25">
      <c r="A7" t="s">
        <v>58</v>
      </c>
      <c r="B7" s="18">
        <f>-MAX(Forecast!F9,0)*B6</f>
        <v>-99981980.11012018</v>
      </c>
    </row>
    <row r="8" spans="1:2" x14ac:dyDescent="0.25">
      <c r="A8" t="s">
        <v>59</v>
      </c>
      <c r="B8" s="18">
        <f>IF(OR(Assumptions!$B$33=0,Assumptions!B12&lt;=0),B5,MAX(B5+B7,0))</f>
        <v>569054139.5428803</v>
      </c>
    </row>
    <row r="9" spans="1:2" x14ac:dyDescent="0.25">
      <c r="A9" t="s">
        <v>60</v>
      </c>
      <c r="B9" s="18">
        <f>B8*(1+Assumptions!B12)/(Assumptions!B26-Assumptions!B12)</f>
        <v>7239074616.673519</v>
      </c>
    </row>
    <row r="10" spans="1:2" x14ac:dyDescent="0.25">
      <c r="A10" t="s">
        <v>61</v>
      </c>
      <c r="B10" s="18">
        <f>B9/(1+Assumptions!B26)^(5-0.5*Assumptions!B32)</f>
        <v>4608271414.240673</v>
      </c>
    </row>
    <row r="11" spans="1:2" x14ac:dyDescent="0.25">
      <c r="A11" t="s">
        <v>62</v>
      </c>
      <c r="B11" s="18">
        <f>Forecast!B17+B10</f>
        <v>6859012181.951406</v>
      </c>
    </row>
    <row r="12" spans="1:2" x14ac:dyDescent="0.25">
      <c r="A12" t="s">
        <v>63</v>
      </c>
      <c r="B12" s="18">
        <f>-Assumptions!B30</f>
        <v>1082482000</v>
      </c>
    </row>
    <row r="13" spans="1:2" x14ac:dyDescent="0.25">
      <c r="A13" t="s">
        <v>64</v>
      </c>
      <c r="B13" s="18">
        <f>B11+B12</f>
        <v>7941494181.951406</v>
      </c>
    </row>
    <row r="14" spans="1:2" x14ac:dyDescent="0.25">
      <c r="A14" s="19" t="s">
        <v>65</v>
      </c>
      <c r="B14" s="24">
        <f>B13/Assumptions!B31</f>
        <v>135.32639530283222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956573415.4069643</v>
      </c>
    </row>
    <row r="18" spans="1:2" x14ac:dyDescent="0.25">
      <c r="A18" t="s">
        <v>60</v>
      </c>
      <c r="B18" s="18">
        <f>B17*Assumptions!B13</f>
        <v>19131468308.139286</v>
      </c>
    </row>
    <row r="19" spans="1:2" x14ac:dyDescent="0.25">
      <c r="A19" t="s">
        <v>61</v>
      </c>
      <c r="B19" s="18">
        <f>B18/(1+Assumptions!B26)^(5-0.5*Assumptions!B32)</f>
        <v>12178766373.506739</v>
      </c>
    </row>
    <row r="20" spans="1:2" x14ac:dyDescent="0.25">
      <c r="A20" t="s">
        <v>62</v>
      </c>
      <c r="B20" s="18">
        <f>Forecast!B17+B19</f>
        <v>14429507141.217472</v>
      </c>
    </row>
    <row r="21" spans="1:2" x14ac:dyDescent="0.25">
      <c r="A21" t="s">
        <v>63</v>
      </c>
      <c r="B21" s="18">
        <f>-Assumptions!B30</f>
        <v>1082482000</v>
      </c>
    </row>
    <row r="22" spans="1:2" x14ac:dyDescent="0.25">
      <c r="A22" t="s">
        <v>64</v>
      </c>
      <c r="B22" s="18">
        <f>B20+B21</f>
        <v>15511989141.217472</v>
      </c>
    </row>
    <row r="23" spans="1:2" x14ac:dyDescent="0.25">
      <c r="A23" s="19" t="s">
        <v>65</v>
      </c>
      <c r="B23" s="25">
        <f>B22/Assumptions!B31</f>
        <v>264.33080807745677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432.03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135.32639530283222</v>
      </c>
    </row>
    <row r="29" spans="1:2" x14ac:dyDescent="0.25">
      <c r="A29" s="19" t="s">
        <v>73</v>
      </c>
      <c r="B29" s="12">
        <f>B28/B26-1</f>
        <v>-0.686766207664208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0.085574</v>
      </c>
      <c r="B5" s="31">
        <v>161.67698295760772</v>
      </c>
      <c r="C5" s="31">
        <v>166.4263518150957</v>
      </c>
      <c r="D5" s="31">
        <v>171.9209055935464</v>
      </c>
      <c r="E5" s="31">
        <v>178.361777445413</v>
      </c>
      <c r="F5" s="31">
        <v>186.02964066332112</v>
      </c>
    </row>
    <row r="6" spans="1:6" x14ac:dyDescent="0.25">
      <c r="A6" s="30">
        <v>0.095574</v>
      </c>
      <c r="B6" s="31">
        <v>144.34379161007737</v>
      </c>
      <c r="C6" s="31">
        <v>147.48537031590135</v>
      </c>
      <c r="D6" s="31">
        <v>151.04007738111258</v>
      </c>
      <c r="E6" s="31">
        <v>155.10241558716115</v>
      </c>
      <c r="F6" s="31">
        <v>159.79809013945794</v>
      </c>
    </row>
    <row r="7" spans="1:6" x14ac:dyDescent="0.25">
      <c r="A7" s="30">
        <v>0.105574</v>
      </c>
      <c r="B7" s="31">
        <v>130.83643197500353</v>
      </c>
      <c r="C7" s="31">
        <v>132.96285257698375</v>
      </c>
      <c r="D7" s="32">
        <v>135.3262611614905</v>
      </c>
      <c r="E7" s="31">
        <v>137.97369533058142</v>
      </c>
      <c r="F7" s="31">
        <v>140.96552269511548</v>
      </c>
    </row>
    <row r="8" spans="1:6" x14ac:dyDescent="0.25">
      <c r="A8" s="30">
        <v>0.115574</v>
      </c>
      <c r="B8" s="31">
        <v>120.01378484570475</v>
      </c>
      <c r="C8" s="31">
        <v>121.47228686498177</v>
      </c>
      <c r="D8" s="31">
        <v>123.06881988742172</v>
      </c>
      <c r="E8" s="31">
        <v>124.82757893776866</v>
      </c>
      <c r="F8" s="31">
        <v>126.7787647063024</v>
      </c>
    </row>
    <row r="9" spans="1:6" x14ac:dyDescent="0.25">
      <c r="A9" s="30">
        <v>0.125574</v>
      </c>
      <c r="B9" s="31">
        <v>111.14752271517104</v>
      </c>
      <c r="C9" s="31">
        <v>112.1524586031365</v>
      </c>
      <c r="D9" s="31">
        <v>113.23741866304006</v>
      </c>
      <c r="E9" s="31">
        <v>114.41496240457136</v>
      </c>
      <c r="F9" s="31">
        <v>115.70042265198917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3088072000</v>
      </c>
      <c r="C5" s="18">
        <v>2816120000</v>
      </c>
      <c r="D5" s="18">
        <v>2813169000</v>
      </c>
      <c r="E5" s="18">
        <v>2695845000</v>
      </c>
      <c r="F5" s="8" t="s">
        <v>84</v>
      </c>
    </row>
    <row r="6" spans="1:6" x14ac:dyDescent="0.25">
      <c r="A6" t="s">
        <v>44</v>
      </c>
      <c r="B6" s="18">
        <v>791433000</v>
      </c>
      <c r="C6" s="18">
        <v>667246000</v>
      </c>
      <c r="D6" s="18">
        <v>537956000</v>
      </c>
      <c r="E6" s="18">
        <v>411701000</v>
      </c>
      <c r="F6" s="8" t="s">
        <v>85</v>
      </c>
    </row>
    <row r="7" spans="1:6" x14ac:dyDescent="0.25">
      <c r="A7" t="s">
        <v>86</v>
      </c>
      <c r="B7" s="18">
        <v>92399000</v>
      </c>
      <c r="C7" s="18">
        <v>106991000</v>
      </c>
      <c r="D7" s="18">
        <v>112702000</v>
      </c>
      <c r="E7" s="18">
        <v>115609000</v>
      </c>
      <c r="F7" s="8" t="s">
        <v>87</v>
      </c>
    </row>
    <row r="8" spans="1:6" x14ac:dyDescent="0.25">
      <c r="A8" t="s">
        <v>88</v>
      </c>
      <c r="B8" s="18">
        <v>43260000</v>
      </c>
      <c r="C8" s="18">
        <v>30412000</v>
      </c>
      <c r="D8" s="18">
        <v>54184000</v>
      </c>
      <c r="E8" s="18">
        <v>33624000</v>
      </c>
      <c r="F8" s="8" t="s">
        <v>89</v>
      </c>
    </row>
    <row r="9" spans="1:6" x14ac:dyDescent="0.25">
      <c r="A9" t="s">
        <v>90</v>
      </c>
      <c r="B9" s="18">
        <v>31546000</v>
      </c>
      <c r="C9" s="18">
        <v>64014000</v>
      </c>
      <c r="D9" s="18">
        <v>25725000</v>
      </c>
      <c r="E9" s="18">
        <v>250287000</v>
      </c>
      <c r="F9" s="8" t="s">
        <v>91</v>
      </c>
    </row>
    <row r="10" spans="1:6" x14ac:dyDescent="0.25">
      <c r="A10" t="s">
        <v>92</v>
      </c>
      <c r="B10" s="18">
        <v>261791000</v>
      </c>
      <c r="C10" s="18">
        <v>249564000</v>
      </c>
      <c r="D10" s="18">
        <v>280986000</v>
      </c>
      <c r="E10" s="18">
        <v>664671000</v>
      </c>
      <c r="F10" s="8" t="s">
        <v>93</v>
      </c>
    </row>
    <row r="11" spans="1:6" x14ac:dyDescent="0.25">
      <c r="A11" t="s">
        <v>94</v>
      </c>
      <c r="B11" s="18">
        <v>1344273000</v>
      </c>
      <c r="C11" s="18">
        <v>1074602000</v>
      </c>
      <c r="D11" s="18">
        <v>803323000</v>
      </c>
      <c r="E11" s="18">
        <v>884566000</v>
      </c>
      <c r="F11" s="8" t="s">
        <v>95</v>
      </c>
    </row>
    <row r="12" spans="1:6" x14ac:dyDescent="0.25">
      <c r="A12" t="s">
        <v>32</v>
      </c>
      <c r="B12" s="34">
        <v>58684000</v>
      </c>
      <c r="C12" s="34">
        <v>59359000</v>
      </c>
      <c r="D12" s="34">
        <v>60270000</v>
      </c>
      <c r="E12" s="34">
        <v>61097000</v>
      </c>
      <c r="F12" s="8" t="s">
        <v>96</v>
      </c>
    </row>
    <row r="15" spans="1:1" x14ac:dyDescent="0.25">
      <c r="A15" s="19" t="s">
        <v>97</v>
      </c>
    </row>
    <row r="16" ht="70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2026-09-19T01:04:03Z</dcterms:modified>
</cp:coreProperties>
</file>