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<sst xmlns="http://schemas.openxmlformats.org/spreadsheetml/2006/main" count="119" uniqueCount="106">
  <si>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Fair Isaac Corporation (FICO)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</si>
  <si>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</si>
  <si>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</si>
  <si>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</si>
  <si>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</si>
  <si>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</si>
  <si>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</si>
  <si>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</si>
  <si>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</si>
  <si>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</si>
  <si>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</si>
  <si>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</si>
  <si>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</si>
  <si>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</si>
  <si>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</si>
  <si>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</si>
  <si>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</si>
  <si>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</si>
  <si>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</si>
  <si>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</si>
  <si>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</si>
  <si>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</si>
  <si>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</si>
  <si>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</si>
  <si>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7.0x interest cover. Book interest / average debt was lower, at 5.0%.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</si>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</sst>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0.271110349299728</v>
      </c>
    </row>
    <row r="7" spans="1:2" x14ac:dyDescent="0.25">
      <c r="A7" t="s">
        <v>4</v>
      </c>
      <c r="B7" s="5">
        <v>0.42860997208711293</v>
      </c>
    </row>
    <row r="8" spans="1:2" x14ac:dyDescent="0.25">
      <c r="A8" t="s">
        <v>5</v>
      </c>
      <c r="B8" s="5">
        <v>0.20434967817687835</v>
      </c>
    </row>
    <row r="9" spans="1:2" x14ac:dyDescent="0.25">
      <c r="A9" t="s">
        <v>6</v>
      </c>
      <c r="B9" s="5">
        <v>0.010022796135336964</v>
      </c>
    </row>
    <row r="10" spans="1:3" x14ac:dyDescent="0.25">
      <c r="A10" t="s">
        <v>7</v>
      </c>
      <c r="B10" s="5">
        <v>0.010461841502835552</v>
      </c>
      <c r="C10" s="6" t="s">
        <v>8</v>
      </c>
    </row>
    <row r="11" spans="1:2" x14ac:dyDescent="0.25">
      <c r="A11" t="s">
        <v>9</v>
      </c>
      <c r="B11" s="5">
        <v>0.2395380293208912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19.2502006470858</v>
      </c>
    </row>
    <row r="14" spans="1:3" x14ac:dyDescent="0.25">
      <c r="A14" t="s">
        <v>12</v>
      </c>
      <c r="B14" s="5">
        <v>0.4514051368028531</v>
      </c>
      <c r="C14" s="6" t="s">
        <v>13</v>
      </c>
    </row>
    <row r="15" spans="1:3" x14ac:dyDescent="0.25">
      <c r="A15" t="s">
        <v>14</v>
      </c>
      <c r="B15" s="5">
        <v>0.010022796135336964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1.22847</v>
      </c>
      <c r="C19" s="6" t="s">
        <v>21</v>
      </c>
    </row>
    <row r="20" spans="1:2" x14ac:dyDescent="0.25">
      <c r="A20" t="s">
        <v>22</v>
      </c>
      <c r="B20" s="9">
        <f>B17+B19*B18</f>
        <v>0.100904281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15360885760</v>
      </c>
    </row>
    <row r="23" spans="1:2" x14ac:dyDescent="0.25">
      <c r="A23" t="s">
        <v>26</v>
      </c>
      <c r="B23" s="10">
        <v>3074878000</v>
      </c>
    </row>
    <row r="24" spans="1:2" x14ac:dyDescent="0.25">
      <c r="A24" t="s">
        <v>27</v>
      </c>
      <c r="B24" s="9">
        <f>B22/(B22+B23)</f>
        <v>0.8332112496108488</v>
      </c>
    </row>
    <row r="25" spans="1:2" x14ac:dyDescent="0.25">
      <c r="A25" t="s">
        <v>28</v>
      </c>
      <c r="B25" s="9">
        <f>1-B24</f>
        <v>0.1667887503891512</v>
      </c>
    </row>
    <row r="26" spans="1:2" x14ac:dyDescent="0.25">
      <c r="A26" t="s">
        <v>29</v>
      </c>
      <c r="B26" s="11">
        <f>B24*B20+B25*B21*(1-B8)</f>
        <v>0.09129907073105525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1990869000</v>
      </c>
      <c r="C29" s="6" t="s">
        <v>32</v>
      </c>
    </row>
    <row r="30" spans="1:2" x14ac:dyDescent="0.25">
      <c r="A30" t="s">
        <v>33</v>
      </c>
      <c r="B30" s="10">
        <v>2940742000</v>
      </c>
    </row>
    <row r="31" spans="1:2" x14ac:dyDescent="0.25">
      <c r="A31" t="s">
        <v>34</v>
      </c>
      <c r="B31" s="12">
        <v>24561000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0.271110349299728</v>
      </c>
      <c r="C5" s="5">
        <v>0.06341480682205458</v>
      </c>
      <c r="D5" s="5">
        <v>0.05861295596929776</v>
      </c>
      <c r="E5" s="5">
        <v>0.053811105116540935</v>
      </c>
      <c r="F5" s="5">
        <v>0.049009254263784115</v>
      </c>
      <c r="G5" s="5">
        <v>0.04420740341102729</v>
      </c>
      <c r="H5" s="5">
        <v>0.03940555255827047</v>
      </c>
      <c r="I5" s="5">
        <v>0.03460370170551365</v>
      </c>
      <c r="J5" s="5">
        <v>0.02980185085275682</v>
      </c>
      <c r="K5" s="5">
        <v>0.025</v>
      </c>
    </row>
    <row r="6" spans="1:11" x14ac:dyDescent="0.25">
      <c r="A6" t="s">
        <v>50</v>
      </c>
      <c r="B6" s="18">
        <f>Assumptions!B29*(1+B5)</f>
        <v>2530614190</v>
      </c>
      <c r="C6" s="18">
        <f>B6*(1+C5)</f>
        <v>2691092600</v>
      </c>
      <c r="D6" s="18">
        <f>C6*(1+D5)</f>
        <v>2848825492.0731034</v>
      </c>
      <c r="E6" s="18">
        <f>D6*(1+E5)</f>
        <v>3002123940.0857306</v>
      </c>
      <c r="F6" s="18">
        <f>E6*(1+F5)</f>
        <v>3149255795.5967855</v>
      </c>
      <c r="G6" s="18">
        <f>F6*(1+G5)</f>
        <v>3288476216.9972486</v>
      </c>
      <c r="H6" s="18">
        <f>G6*(1+H5)</f>
        <v>3418060439.4027557</v>
      </c>
      <c r="I6" s="18">
        <f>H6*(1+I5)</f>
        <v>3536337983.2592654</v>
      </c>
      <c r="J6" s="18">
        <f>I6*(1+J5)</f>
        <v>3641727400.401297</v>
      </c>
      <c r="K6" s="18">
        <f>J6*(1+K5)</f>
        <v>3732770585.4113293</v>
      </c>
    </row>
    <row r="7" spans="1:11" x14ac:dyDescent="0.25">
      <c r="A7" t="s">
        <v>4</v>
      </c>
      <c r="B7" s="9">
        <f>Assumptions!B7</f>
        <v>0.42860997208711293</v>
      </c>
      <c r="C7" s="9">
        <f>Assumptions!B7</f>
        <v>0.42860997208711293</v>
      </c>
      <c r="D7" s="9">
        <f>Assumptions!B7</f>
        <v>0.42860997208711293</v>
      </c>
      <c r="E7" s="9">
        <f>Assumptions!B7</f>
        <v>0.42860997208711293</v>
      </c>
      <c r="F7" s="9">
        <f>Assumptions!B7</f>
        <v>0.42860997208711293</v>
      </c>
      <c r="G7" s="9">
        <f>Assumptions!B7</f>
        <v>0.42860997208711293</v>
      </c>
      <c r="H7" s="9">
        <f>Assumptions!B7</f>
        <v>0.42860997208711293</v>
      </c>
      <c r="I7" s="9">
        <f>Assumptions!B7</f>
        <v>0.42860997208711293</v>
      </c>
      <c r="J7" s="9">
        <f>Assumptions!B7</f>
        <v>0.42860997208711293</v>
      </c>
      <c r="K7" s="9">
        <f>Assumptions!B7</f>
        <v>0.42860997208711293</v>
      </c>
    </row>
    <row r="8" spans="1:11" x14ac:dyDescent="0.25">
      <c r="A8" t="s">
        <v>51</v>
      </c>
      <c r="B8" s="18">
        <f>B6*B7</f>
        <v>1084646477.3391519</v>
      </c>
      <c r="C8" s="18">
        <f>C6*C7</f>
        <v>1153429124.1698363</v>
      </c>
      <c r="D8" s="18">
        <f>D6*D7</f>
        <v>1221035014.6385086</v>
      </c>
      <c r="E8" s="18">
        <f>E6*E7</f>
        <v>1286740258.1621985</v>
      </c>
      <c r="F8" s="18">
        <f>F6*F7</f>
        <v>1349802438.645917</v>
      </c>
      <c r="G8" s="18">
        <f>G6*G7</f>
        <v>1409473699.5763254</v>
      </c>
      <c r="H8" s="18">
        <f>H6*H7</f>
        <v>1465014789.52448</v>
      </c>
      <c r="I8" s="18">
        <f>I6*I7</f>
        <v>1515709724.295351</v>
      </c>
      <c r="J8" s="18">
        <f>J6*J7</f>
        <v>1560880679.4348743</v>
      </c>
      <c r="K8" s="18">
        <f>K6*K7</f>
        <v>1599902696.420746</v>
      </c>
    </row>
    <row r="9" spans="1:11" x14ac:dyDescent="0.25">
      <c r="A9" t="s">
        <v>52</v>
      </c>
      <c r="B9" s="18">
        <f>B8*(1-Assumptions!B8)</f>
        <v>862999318.7592114</v>
      </c>
      <c r="C9" s="18">
        <f>C8*(1-Assumptions!B8)</f>
        <v>917726253.8458916</v>
      </c>
      <c r="D9" s="18">
        <f>D8*(1-Assumptions!B8)</f>
        <v>971516902.3544294</v>
      </c>
      <c r="E9" s="18">
        <f>E8*(1-Assumptions!B8)</f>
        <v>1023795300.5095199</v>
      </c>
      <c r="F9" s="18">
        <f>F8*(1-Assumptions!B8)</f>
        <v>1073970744.7062583</v>
      </c>
      <c r="G9" s="18">
        <f>G8*(1-Assumptions!B8)</f>
        <v>1121448202.6691291</v>
      </c>
      <c r="H9" s="18">
        <f>H8*(1-Assumptions!B8)</f>
        <v>1165639488.7607856</v>
      </c>
      <c r="I9" s="18">
        <f>I8*(1-Assumptions!B8)</f>
        <v>1205974929.926031</v>
      </c>
      <c r="J9" s="18">
        <f>J8*(1-Assumptions!B8)</f>
        <v>1241915214.9198506</v>
      </c>
      <c r="K9" s="18">
        <f>K8*(1-Assumptions!B8)</f>
        <v>1272963095.2928467</v>
      </c>
    </row>
    <row r="10" spans="1:11" x14ac:dyDescent="0.25">
      <c r="A10" t="s">
        <v>53</v>
      </c>
      <c r="B10" s="18">
        <f>B6*Assumptions!B9</f>
        <v>25363830.123560883</v>
      </c>
      <c r="C10" s="18">
        <f>C6*Assumptions!B9</f>
        <v>26972272.511113904</v>
      </c>
      <c r="D10" s="18">
        <f>D6*Assumptions!B9</f>
        <v>28553197.132199727</v>
      </c>
      <c r="E10" s="18">
        <f>E6*Assumptions!B9</f>
        <v>30089676.22449384</v>
      </c>
      <c r="F10" s="18">
        <f>F6*Assumptions!B9</f>
        <v>31564348.817295</v>
      </c>
      <c r="G10" s="18">
        <f>G6*Assumptions!B9</f>
        <v>32959726.718867544</v>
      </c>
      <c r="H10" s="18">
        <f>H6*Assumptions!B9</f>
        <v>34258522.9623941</v>
      </c>
      <c r="I10" s="18">
        <f>I6*Assumptions!B9</f>
        <v>35443994.67185628</v>
      </c>
      <c r="J10" s="18">
        <f>J6*Assumptions!B9</f>
        <v>36500291.31469285</v>
      </c>
      <c r="K10" s="18">
        <f>K6*Assumptions!B9</f>
        <v>37412798.59756017</v>
      </c>
    </row>
    <row r="11" spans="1:11" x14ac:dyDescent="0.25">
      <c r="A11" t="s">
        <v>54</v>
      </c>
      <c r="B11" s="18">
        <f>-B6*B19</f>
        <v>-26474884.560606573</v>
      </c>
      <c r="C11" s="18">
        <f>-C6*C19</f>
        <v>-33669848.06774983</v>
      </c>
      <c r="D11" s="18">
        <f>-D6*D19</f>
        <v>-41482714.01276929</v>
      </c>
      <c r="E11" s="18">
        <f>-E6*E19</f>
        <v>-49868544.62902219</v>
      </c>
      <c r="F11" s="18">
        <f>-F6*F19</f>
        <v>-58767748.08820779</v>
      </c>
      <c r="G11" s="18">
        <f>-G6*G19</f>
        <v>-68106267.80235867</v>
      </c>
      <c r="H11" s="18">
        <f>-H6*H19</f>
        <v>-77796198.18852176</v>
      </c>
      <c r="I11" s="18">
        <f>-I6*I19</f>
        <v>-87736839.14831786</v>
      </c>
      <c r="J11" s="18">
        <f>-J6*J19</f>
        <v>-97816185.69767644</v>
      </c>
      <c r="K11" s="18">
        <f>-K6*K19</f>
        <v>-107912832.35375562</v>
      </c>
    </row>
    <row r="12" spans="1:11" x14ac:dyDescent="0.25">
      <c r="A12" t="s">
        <v>55</v>
      </c>
      <c r="B12" s="18">
        <f>-(B6-Assumptions!B29)*Assumptions!B11</f>
        <v>-129289499.14802998</v>
      </c>
      <c r="C12" s="18">
        <f>-(C6-B6)*Assumptions!B11</f>
        <v>-38440682.07995</v>
      </c>
      <c r="D12" s="18">
        <f>-(D6-C6)*Assumptions!B11</f>
        <v>-37783026.126276016</v>
      </c>
      <c r="E12" s="18">
        <f>-(E6-D6)*Assumptions!B11</f>
        <v>-36720808.13489579</v>
      </c>
      <c r="F12" s="18">
        <f>-(F6-E6)*Assumptions!B11</f>
        <v>-35243674.719444215</v>
      </c>
      <c r="G12" s="18">
        <f>-(G6-F6)*Assumptions!B11</f>
        <v>-33348585.383490957</v>
      </c>
      <c r="H12" s="18">
        <f>-(H6-G6)*Assumptions!B11</f>
        <v>-31040349.266095243</v>
      </c>
      <c r="I12" s="18">
        <f>-(I6-H6)*Assumptions!B11</f>
        <v>-28331969.76830361</v>
      </c>
      <c r="J12" s="18">
        <f>-(J6-I6)*Assumptions!B11</f>
        <v>-25244773.293479614</v>
      </c>
      <c r="K12" s="18">
        <f>-(K6-J6)*Assumptions!B11</f>
        <v>-21808305.12040041</v>
      </c>
    </row>
    <row r="13" spans="1:11" x14ac:dyDescent="0.25">
      <c r="A13" s="19" t="s">
        <v>56</v>
      </c>
      <c r="B13" s="20">
        <f>B9+B10+B11+B12</f>
        <v>732598765.1741357</v>
      </c>
      <c r="C13" s="20">
        <f>C9+C10+C11+C12</f>
        <v>872587996.2093056</v>
      </c>
      <c r="D13" s="20">
        <f>D9+D10+D11+D12</f>
        <v>920804359.3475838</v>
      </c>
      <c r="E13" s="20">
        <f>E9+E10+E11+E12</f>
        <v>967295623.9700958</v>
      </c>
      <c r="F13" s="20">
        <f>F9+F10+F11+F12</f>
        <v>1011523670.7159014</v>
      </c>
      <c r="G13" s="20">
        <f>G9+G10+G11+G12</f>
        <v>1052953076.2021471</v>
      </c>
      <c r="H13" s="20">
        <f>H9+H10+H11+H12</f>
        <v>1091061464.2685626</v>
      </c>
      <c r="I13" s="20">
        <f>I9+I10+I11+I12</f>
        <v>1125350115.6812658</v>
      </c>
      <c r="J13" s="20">
        <f>J9+J10+J11+J12</f>
        <v>1155354547.2433872</v>
      </c>
      <c r="K13" s="20">
        <f>K9+K10+K11+K12</f>
        <v>1180654756.4162507</v>
      </c>
    </row>
    <row r="14" spans="1:11" x14ac:dyDescent="0.25">
      <c r="A14" t="s">
        <v>57</v>
      </c>
      <c r="B14" s="21">
        <f>1/(1+Assumptions!$B$26)^(1-0.5*Assumptions!$B$32)</f>
        <v>0.9572560223838935</v>
      </c>
      <c r="C14" s="21">
        <f>1/(1+Assumptions!$B$26)^(2-0.5*Assumptions!$B$32)</f>
        <v>0.8771711147363417</v>
      </c>
      <c r="D14" s="21">
        <f>1/(1+Assumptions!$B$26)^(3-0.5*Assumptions!$B$32)</f>
        <v>0.8037861831484284</v>
      </c>
      <c r="E14" s="21">
        <f>1/(1+Assumptions!$B$26)^(4-0.5*Assumptions!$B$32)</f>
        <v>0.7365407015420405</v>
      </c>
      <c r="F14" s="21">
        <f>1/(1+Assumptions!$B$26)^(5-0.5*Assumptions!$B$32)</f>
        <v>0.674921037959499</v>
      </c>
      <c r="G14" s="21">
        <f>1/(1+Assumptions!$B$26)^(6-0.5*Assumptions!$B$32)</f>
        <v>0.6184565313588815</v>
      </c>
      <c r="H14" s="21">
        <f>1/(1+Assumptions!$B$26)^(7-0.5*Assumptions!$B$32)</f>
        <v>0.5667158966282091</v>
      </c>
      <c r="I14" s="21">
        <f>1/(1+Assumptions!$B$26)^(8-0.5*Assumptions!$B$32)</f>
        <v>0.5193039303594104</v>
      </c>
      <c r="J14" s="21">
        <f>1/(1+Assumptions!$B$26)^(9-0.5*Assumptions!$B$32)</f>
        <v>0.47585849222022286</v>
      </c>
      <c r="K14" s="21">
        <f>1/(1+Assumptions!$B$26)^(10-0.5*Assumptions!$B$32)</f>
        <v>0.4360477388672639</v>
      </c>
    </row>
    <row r="15" spans="1:11" x14ac:dyDescent="0.25">
      <c r="A15" s="19" t="s">
        <v>58</v>
      </c>
      <c r="B15" s="20">
        <f>B13*B14</f>
        <v>701284579.9539452</v>
      </c>
      <c r="C15" s="20">
        <f>C13*C14</f>
        <v>765408985.3404673</v>
      </c>
      <c r="D15" s="20">
        <f>D13*D14</f>
        <v>740129821.4264283</v>
      </c>
      <c r="E15" s="20">
        <f>E13*E14</f>
        <v>712452597.4774802</v>
      </c>
      <c r="F15" s="20">
        <f>F13*F14</f>
        <v>682698605.7601786</v>
      </c>
      <c r="G15" s="20">
        <f>G13*G14</f>
        <v>651205707.191644</v>
      </c>
      <c r="H15" s="20">
        <f>H13*H14</f>
        <v>618321875.9994452</v>
      </c>
      <c r="I15" s="20">
        <f>I13*I14</f>
        <v>584398738.1036985</v>
      </c>
      <c r="J15" s="20">
        <f>J13*J14</f>
        <v>549785272.8310165</v>
      </c>
      <c r="K15" s="20">
        <f>K13*K14</f>
        <v>514821836.91818637</v>
      </c>
    </row>
    <row r="17" spans="1:2" x14ac:dyDescent="0.25">
      <c r="A17" s="22" t="s">
        <v>59</v>
      </c>
      <c r="B17" s="23">
        <f>SUM(B15:K15)</f>
        <v>6520508021.00249</v>
      </c>
    </row>
    <row r="19" spans="1:11" x14ac:dyDescent="0.25">
      <c r="A19" t="s">
        <v>7</v>
      </c>
      <c r="B19" s="9">
        <f>Assumptions!$B$10+($B$20-Assumptions!$B$10)*0/9</f>
        <v>0.010461841502835552</v>
      </c>
      <c r="C19" s="9">
        <f>Assumptions!$B$10+($B$20-Assumptions!$B$10)*1/9</f>
        <v>0.01251159029895509</v>
      </c>
      <c r="D19" s="9">
        <f>Assumptions!$B$10+($B$20-Assumptions!$B$10)*2/9</f>
        <v>0.014561339095074625</v>
      </c>
      <c r="E19" s="9">
        <f>Assumptions!$B$10+($B$20-Assumptions!$B$10)*3/9</f>
        <v>0.016611087891194164</v>
      </c>
      <c r="F19" s="9">
        <f>Assumptions!$B$10+($B$20-Assumptions!$B$10)*4/9</f>
        <v>0.0186608366873137</v>
      </c>
      <c r="G19" s="9">
        <f>Assumptions!$B$10+($B$20-Assumptions!$B$10)*5/9</f>
        <v>0.020710585483433238</v>
      </c>
      <c r="H19" s="9">
        <f>Assumptions!$B$10+($B$20-Assumptions!$B$10)*6/9</f>
        <v>0.022760334279552773</v>
      </c>
      <c r="I19" s="9">
        <f>Assumptions!$B$10+($B$20-Assumptions!$B$10)*7/9</f>
        <v>0.024810083075672312</v>
      </c>
      <c r="J19" s="9">
        <f>Assumptions!$B$10+($B$20-Assumptions!$B$10)*8/9</f>
        <v>0.026859831871791848</v>
      </c>
      <c r="K19" s="9">
        <f>Assumptions!$B$10+($B$20-Assumptions!$B$10)*9/9</f>
        <v>0.028909580667911383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0.028909580667911383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1180654756.4162507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1272963095.2928467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0.055382621866171884</v>
      </c>
    </row>
    <row r="7" spans="1:2" x14ac:dyDescent="0.25">
      <c r="A7" t="s">
        <v>66</v>
      </c>
      <c r="B7" s="18">
        <f>-MAX(B5,0)*B6</f>
        <v>-70500033.75619546</v>
      </c>
    </row>
    <row r="8" spans="1:2" x14ac:dyDescent="0.25">
      <c r="A8" t="s">
        <v>67</v>
      </c>
      <c r="B8" s="18">
        <f>IF(OR(Assumptions!$B$33=0,Assumptions!B12&lt;=0),B5,MAX(B5+B7,0))</f>
        <v>1202463061.5366511</v>
      </c>
    </row>
    <row r="9" spans="1:2" x14ac:dyDescent="0.25">
      <c r="A9" t="s">
        <v>68</v>
      </c>
      <c r="B9" s="18">
        <f>B8*(1+Assumptions!B12)/(Assumptions!B26-Assumptions!B12)</f>
        <v>18590375769.742702</v>
      </c>
    </row>
    <row r="10" spans="1:2" x14ac:dyDescent="0.25">
      <c r="A10" t="s">
        <v>69</v>
      </c>
      <c r="B10" s="18">
        <f>B9/(1+Assumptions!B26)^(10-0.5*Assumptions!B32)</f>
        <v>8106291319.089076</v>
      </c>
    </row>
    <row r="11" spans="1:2" x14ac:dyDescent="0.25">
      <c r="A11" t="s">
        <v>70</v>
      </c>
      <c r="B11" s="18">
        <f>Forecast!B17+B10</f>
        <v>14626799340.091566</v>
      </c>
    </row>
    <row r="12" spans="1:2" x14ac:dyDescent="0.25">
      <c r="A12" t="s">
        <v>71</v>
      </c>
      <c r="B12" s="18">
        <f>-Assumptions!B30</f>
        <v>-2940742000</v>
      </c>
    </row>
    <row r="13" spans="1:2" x14ac:dyDescent="0.25">
      <c r="A13" t="s">
        <v>72</v>
      </c>
      <c r="B13" s="18">
        <f>B11+B12</f>
        <v>11686057340.091566</v>
      </c>
    </row>
    <row r="14" spans="1:2" x14ac:dyDescent="0.25">
      <c r="A14" s="19" t="s">
        <v>73</v>
      </c>
      <c r="B14" s="24">
        <f>B13/Assumptions!B31</f>
        <v>475.7972940878452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1637315495.0183063</v>
      </c>
    </row>
    <row r="18" spans="1:2" x14ac:dyDescent="0.25">
      <c r="A18" t="s">
        <v>68</v>
      </c>
      <c r="B18" s="18">
        <f>B17*Assumptions!B13</f>
        <v>31518651801.68501</v>
      </c>
    </row>
    <row r="19" spans="1:2" x14ac:dyDescent="0.25">
      <c r="A19" t="s">
        <v>69</v>
      </c>
      <c r="B19" s="18">
        <f>B18/(1+Assumptions!B26)^(10-0.5*Assumptions!B32)</f>
        <v>13743636850.269361</v>
      </c>
    </row>
    <row r="20" spans="1:2" x14ac:dyDescent="0.25">
      <c r="A20" t="s">
        <v>70</v>
      </c>
      <c r="B20" s="18">
        <f>Forecast!B17+B19</f>
        <v>20264144871.27185</v>
      </c>
    </row>
    <row r="21" spans="1:2" x14ac:dyDescent="0.25">
      <c r="A21" t="s">
        <v>71</v>
      </c>
      <c r="B21" s="18">
        <f>-Assumptions!B30</f>
        <v>-2940742000</v>
      </c>
    </row>
    <row r="22" spans="1:2" x14ac:dyDescent="0.25">
      <c r="A22" t="s">
        <v>72</v>
      </c>
      <c r="B22" s="18">
        <f>B20+B21</f>
        <v>17323402871.27185</v>
      </c>
    </row>
    <row r="23" spans="1:2" x14ac:dyDescent="0.25">
      <c r="A23" s="19" t="s">
        <v>73</v>
      </c>
      <c r="B23" s="25">
        <f>B22/Assumptions!B31</f>
        <v>705.3215614702924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711.23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475.7972940878452</v>
      </c>
    </row>
    <row r="29" spans="1:2" x14ac:dyDescent="0.25">
      <c r="A29" s="19" t="s">
        <v>81</v>
      </c>
      <c r="B29" s="11">
        <f>B28/B26-1</f>
        <v>-0.33102189996506726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0.071299</v>
      </c>
      <c r="B5" s="31">
        <v>642.9753432344688</v>
      </c>
      <c r="C5" s="31">
        <v>683.70245488176</v>
      </c>
      <c r="D5" s="31">
        <v>733.5173091758736</v>
      </c>
      <c r="E5" s="31">
        <v>795.720618959793</v>
      </c>
      <c r="F5" s="31">
        <v>875.4317217454906</v>
      </c>
    </row>
    <row r="6" spans="1:6" x14ac:dyDescent="0.25">
      <c r="A6" s="30">
        <v>0.081299</v>
      </c>
      <c r="B6" s="31">
        <v>525.6680260211326</v>
      </c>
      <c r="C6" s="31">
        <v>551.2962872585781</v>
      </c>
      <c r="D6" s="31">
        <v>581.7031322450746</v>
      </c>
      <c r="E6" s="31">
        <v>618.2858349281804</v>
      </c>
      <c r="F6" s="31">
        <v>663.0452563513118</v>
      </c>
    </row>
    <row r="7" spans="1:6" x14ac:dyDescent="0.25">
      <c r="A7" s="30">
        <v>0.091299</v>
      </c>
      <c r="B7" s="31">
        <v>439.3160076180186</v>
      </c>
      <c r="C7" s="31">
        <v>456.1931940942145</v>
      </c>
      <c r="D7" s="32">
        <v>475.7979298057942</v>
      </c>
      <c r="E7" s="31">
        <v>498.7976520442435</v>
      </c>
      <c r="F7" s="31">
        <v>526.096902593662</v>
      </c>
    </row>
    <row r="8" spans="1:6" x14ac:dyDescent="0.25">
      <c r="A8" s="30">
        <v>0.101299</v>
      </c>
      <c r="B8" s="31">
        <v>373.1443176405117</v>
      </c>
      <c r="C8" s="31">
        <v>384.61698444953487</v>
      </c>
      <c r="D8" s="31">
        <v>397.7430157429278</v>
      </c>
      <c r="E8" s="31">
        <v>412.87024903966835</v>
      </c>
      <c r="F8" s="31">
        <v>430.4514518030694</v>
      </c>
    </row>
    <row r="9" spans="1:6" x14ac:dyDescent="0.25">
      <c r="A9" s="30">
        <v>0.111299</v>
      </c>
      <c r="B9" s="31">
        <v>320.85473557231376</v>
      </c>
      <c r="C9" s="31">
        <v>328.8279895568213</v>
      </c>
      <c r="D9" s="31">
        <v>337.8506200366222</v>
      </c>
      <c r="E9" s="31">
        <v>348.1162412926968</v>
      </c>
      <c r="F9" s="31">
        <v>359.86921906567216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1990869000</v>
      </c>
      <c r="C5" s="18">
        <v>1717526000</v>
      </c>
      <c r="D5" s="18">
        <v>1513557000</v>
      </c>
      <c r="E5" s="18">
        <v>1377270000</v>
      </c>
      <c r="F5" s="6" t="s">
        <v>91</v>
      </c>
    </row>
    <row r="6" spans="1:6" x14ac:dyDescent="0.25">
      <c r="A6" t="s">
        <v>51</v>
      </c>
      <c r="B6" s="18">
        <v>935772000</v>
      </c>
      <c r="C6" s="18">
        <v>733629000</v>
      </c>
      <c r="D6" s="18">
        <v>640889000</v>
      </c>
      <c r="E6" s="18">
        <v>542414000</v>
      </c>
      <c r="F6" s="6" t="s">
        <v>92</v>
      </c>
    </row>
    <row r="7" spans="1:6" x14ac:dyDescent="0.25">
      <c r="A7" t="s">
        <v>93</v>
      </c>
      <c r="B7" s="18">
        <v>14952000</v>
      </c>
      <c r="C7" s="18">
        <v>13827000</v>
      </c>
      <c r="D7" s="18">
        <v>14638000</v>
      </c>
      <c r="E7" s="18">
        <v>20465000</v>
      </c>
      <c r="F7" s="6" t="s">
        <v>94</v>
      </c>
    </row>
    <row r="8" spans="1:6" x14ac:dyDescent="0.25">
      <c r="A8" t="s">
        <v>95</v>
      </c>
      <c r="B8" s="18">
        <v>39407000</v>
      </c>
      <c r="C8" s="18">
        <v>25551000</v>
      </c>
      <c r="D8" s="18">
        <v>4237000</v>
      </c>
      <c r="E8" s="18">
        <v>6029000</v>
      </c>
      <c r="F8" s="6" t="s">
        <v>96</v>
      </c>
    </row>
    <row r="9" spans="1:6" x14ac:dyDescent="0.25">
      <c r="A9" t="s">
        <v>97</v>
      </c>
      <c r="B9" s="18">
        <v>18547000</v>
      </c>
      <c r="C9" s="18">
        <v>20485000</v>
      </c>
      <c r="D9" s="18">
        <v>63448000</v>
      </c>
      <c r="E9" s="18">
        <v>35911000</v>
      </c>
      <c r="F9" s="6" t="s">
        <v>98</v>
      </c>
    </row>
    <row r="10" spans="1:6" x14ac:dyDescent="0.25">
      <c r="A10" t="s">
        <v>99</v>
      </c>
      <c r="B10" s="18">
        <v>3074878000</v>
      </c>
      <c r="C10" s="18">
        <v>2230984000</v>
      </c>
      <c r="D10" s="18">
        <v>1901897000</v>
      </c>
      <c r="E10" s="18">
        <v>1912230000</v>
      </c>
      <c r="F10" s="6" t="s">
        <v>100</v>
      </c>
    </row>
    <row r="11" spans="1:6" x14ac:dyDescent="0.25">
      <c r="A11" t="s">
        <v>101</v>
      </c>
      <c r="B11" s="18">
        <v>134136000</v>
      </c>
      <c r="C11" s="18">
        <v>150667000</v>
      </c>
      <c r="D11" s="18">
        <v>136778000</v>
      </c>
      <c r="E11" s="18">
        <v>133202000</v>
      </c>
      <c r="F11" s="6" t="s">
        <v>102</v>
      </c>
    </row>
    <row r="12" spans="1:6" x14ac:dyDescent="0.25">
      <c r="A12" t="s">
        <v>34</v>
      </c>
      <c r="B12" s="34">
        <v>24561000</v>
      </c>
      <c r="C12" s="34">
        <v>25079000</v>
      </c>
      <c r="D12" s="34">
        <v>25367000</v>
      </c>
      <c r="E12" s="34">
        <v>26347000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