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<sst xmlns="http://schemas.openxmlformats.org/spreadsheetml/2006/main" count="112" uniqueCount="100">
  <si>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Fair Isaac Corporation (FICO)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</si>
  <si>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</si>
  <si>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</si>
  <si>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</si>
  <si>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</si>
  <si>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</si>
  <si>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</si>
  <si>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</si>
  <si>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</si>
  <si>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</si>
  <si>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</si>
  <si>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</si>
  <si>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</si>
  <si>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</si>
  <si>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</si>
  <si>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</si>
  <si>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</si>
  <si>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</si>
  <si>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</si>
  <si>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</si>
  <si>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</si>
  <si>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</si>
  <si>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</si>
  <si>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</si>
  <si>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</si>
  <si>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</si>
  <si>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</si>
  <si>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</si>
  <si>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</si>
  <si>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</si>
  <si>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</si>
  <si>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</si>
  <si>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</si>
  <si>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</si>
  <si>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</si>
  <si>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</si>
  <si>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</si>
  <si>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</si>
  <si>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</si>
  <si>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</si>
  <si>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</si>
  <si>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</si>
  <si>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</si>
  <si>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</si>
  <si>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</si>
  <si>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</si>
  <si>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</si>
  <si>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</si>
  <si>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</si>
  <si>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</si>
  <si>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</si>
  <si>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</si>
  <si>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</si>
  <si>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</si>
  <si>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</si>
  <si>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</si>
  <si>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</si>
  <si>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</si>
  <si>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</si>
  <si>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</si>
  <si>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</si>
  <si>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</si>
  <si>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</si>
  <si>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</si>
  <si>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</si>
  <si>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</si>
  <si>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</si>
  <si>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</si>
  <si>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</si>
  <si>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</si>
  <si>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</si>
  <si>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</si>
  <si>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</si>
  <si>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</si>
  <si>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</si>
  <si>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</si>
  <si>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</si>
  <si>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</si>
  <si>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</si>
  <si>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</si>
  <si>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</si>
  <si>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</si>
  <si>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</si>
  <si>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</si>
  <si>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</si>
  <si>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</si>
  <si>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</si>
  <si>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</si>
  <si>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</si>
  <si>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</si>
  <si>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</si>
  <si>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</si>
  <si>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</si>
  <si>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</si>
  <si>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</si>
  <si>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</si>
  <si>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</si>
  <si>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</si>
  <si>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24.7x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</si>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</sst>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0.1306838755794808</v>
      </c>
    </row>
    <row r="7" spans="1:2" x14ac:dyDescent="0.25">
      <c r="A7" t="s">
        <v>5</v>
      </c>
      <c r="B7" s="6">
        <v>0.42860997208711293</v>
      </c>
    </row>
    <row r="8" spans="1:2" x14ac:dyDescent="0.25">
      <c r="A8" t="s">
        <v>6</v>
      </c>
      <c r="B8" s="6">
        <v>0.20434967817687835</v>
      </c>
    </row>
    <row r="9" spans="1:2" x14ac:dyDescent="0.25">
      <c r="A9" t="s">
        <v>7</v>
      </c>
      <c r="B9" s="6">
        <v>0.010022796135336964</v>
      </c>
    </row>
    <row r="10" spans="1:2" x14ac:dyDescent="0.25">
      <c r="A10" t="s">
        <v>8</v>
      </c>
      <c r="B10" s="6">
        <v>0.010461841502835552</v>
      </c>
    </row>
    <row r="11" spans="1:2" x14ac:dyDescent="0.25">
      <c r="A11" t="s">
        <v>9</v>
      </c>
      <c r="B11" s="6">
        <v>0.10043192838127363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0.4514051368028531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1.21306</v>
      </c>
      <c r="C19" s="8" t="s">
        <v>19</v>
      </c>
    </row>
    <row r="20" spans="1:2" x14ac:dyDescent="0.25">
      <c r="A20" t="s">
        <v>20</v>
      </c>
      <c r="B20" s="10">
        <f>B17+B19*B18</f>
        <v>0.1166983</v>
      </c>
    </row>
    <row r="21" spans="1:3" x14ac:dyDescent="0.25">
      <c r="A21" t="s">
        <v>21</v>
      </c>
      <c r="B21" s="6">
        <v>0.05037711120266603</v>
      </c>
      <c r="C21" s="8" t="s">
        <v>22</v>
      </c>
    </row>
    <row r="22" spans="1:2" x14ac:dyDescent="0.25">
      <c r="A22" t="s">
        <v>23</v>
      </c>
      <c r="B22" s="11">
        <v>20510842880</v>
      </c>
    </row>
    <row r="23" spans="1:2" x14ac:dyDescent="0.25">
      <c r="A23" t="s">
        <v>24</v>
      </c>
      <c r="B23" s="11">
        <v>3074878000</v>
      </c>
    </row>
    <row r="24" spans="1:2" x14ac:dyDescent="0.25">
      <c r="A24" t="s">
        <v>25</v>
      </c>
      <c r="B24" s="10">
        <f>B22/(B22+B23)</f>
        <v>0.8696296790908178</v>
      </c>
    </row>
    <row r="25" spans="1:2" x14ac:dyDescent="0.25">
      <c r="A25" t="s">
        <v>26</v>
      </c>
      <c r="B25" s="10">
        <f>1-B24</f>
        <v>0.1303703209091822</v>
      </c>
    </row>
    <row r="26" spans="1:2" x14ac:dyDescent="0.25">
      <c r="A26" t="s">
        <v>27</v>
      </c>
      <c r="B26" s="12">
        <f>B24*B20+B25*B21*(1-B8)</f>
        <v>0.10670988200758086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1990869000</v>
      </c>
      <c r="C29" s="8" t="s">
        <v>30</v>
      </c>
    </row>
    <row r="30" spans="1:2" x14ac:dyDescent="0.25">
      <c r="A30" t="s">
        <v>31</v>
      </c>
      <c r="B30" s="11">
        <v>2940742000</v>
      </c>
    </row>
    <row r="31" spans="1:2" x14ac:dyDescent="0.25">
      <c r="A31" t="s">
        <v>32</v>
      </c>
      <c r="B31" s="13">
        <v>24561000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0.1306838755794808</v>
      </c>
      <c r="C5" s="10">
        <f>Assumptions!B6</f>
        <v>0.1306838755794808</v>
      </c>
      <c r="D5" s="10">
        <f>Assumptions!B6</f>
        <v>0.1306838755794808</v>
      </c>
      <c r="E5" s="10">
        <f>Assumptions!B6</f>
        <v>0.1306838755794808</v>
      </c>
      <c r="F5" s="10">
        <f>Assumptions!B6</f>
        <v>0.1306838755794808</v>
      </c>
    </row>
    <row r="6" spans="1:6" x14ac:dyDescent="0.25">
      <c r="A6" t="s">
        <v>43</v>
      </c>
      <c r="B6" s="18">
        <f>Assumptions!B29*(1+B5)</f>
        <v>2251043476.6910453</v>
      </c>
      <c r="C6" s="18">
        <f>B6*(1+C5)</f>
        <v>2545218562.32294</v>
      </c>
      <c r="D6" s="18">
        <f>C6*(1+D5)</f>
        <v>2877837588.244136</v>
      </c>
      <c r="E6" s="18">
        <f>D6*(1+E5)</f>
        <v>3253924557.5641856</v>
      </c>
      <c r="F6" s="18">
        <f>E6*(1+F5)</f>
        <v>3679160029.589921</v>
      </c>
    </row>
    <row r="7" spans="1:6" x14ac:dyDescent="0.25">
      <c r="A7" t="s">
        <v>5</v>
      </c>
      <c r="B7" s="10">
        <f>Assumptions!B7</f>
        <v>0.42860997208711293</v>
      </c>
      <c r="C7" s="10">
        <f>Assumptions!B7</f>
        <v>0.42860997208711293</v>
      </c>
      <c r="D7" s="10">
        <f>Assumptions!B7</f>
        <v>0.42860997208711293</v>
      </c>
      <c r="E7" s="10">
        <f>Assumptions!B7</f>
        <v>0.42860997208711293</v>
      </c>
      <c r="F7" s="10">
        <f>Assumptions!B7</f>
        <v>0.42860997208711293</v>
      </c>
    </row>
    <row r="8" spans="1:6" x14ac:dyDescent="0.25">
      <c r="A8" t="s">
        <v>44</v>
      </c>
      <c r="B8" s="18">
        <f>B6*B7</f>
        <v>964819681.7114266</v>
      </c>
      <c r="C8" s="18">
        <f>C6*C7</f>
        <v>1090906056.952837</v>
      </c>
      <c r="D8" s="18">
        <f>D6*D7</f>
        <v>1233469888.3685634</v>
      </c>
      <c r="E8" s="18">
        <f>E6*E7</f>
        <v>1394664513.791157</v>
      </c>
      <c r="F8" s="18">
        <f>F6*F7</f>
        <v>1576924677.5865576</v>
      </c>
    </row>
    <row r="9" spans="1:6" x14ac:dyDescent="0.25">
      <c r="A9" t="s">
        <v>45</v>
      </c>
      <c r="B9" s="18">
        <f>B8*(1-Assumptions!B8)</f>
        <v>767659090.2549784</v>
      </c>
      <c r="C9" s="18">
        <f>C8*(1-Assumptions!B8)</f>
        <v>867979755.2933174</v>
      </c>
      <c r="D9" s="18">
        <f>D8*(1-Assumptions!B8)</f>
        <v>981410713.6395774</v>
      </c>
      <c r="E9" s="18">
        <f>E8*(1-Assumptions!B8)</f>
        <v>1109665269.2332215</v>
      </c>
      <c r="F9" s="18">
        <f>F8*(1-Assumptions!B8)</f>
        <v>1254680627.2125669</v>
      </c>
    </row>
    <row r="10" spans="1:6" x14ac:dyDescent="0.25">
      <c r="A10" t="s">
        <v>46</v>
      </c>
      <c r="B10" s="18">
        <f>B6*Assumptions!B9</f>
        <v>22561749.85865449</v>
      </c>
      <c r="C10" s="18">
        <f>C6*Assumptions!B9</f>
        <v>25510206.770038266</v>
      </c>
      <c r="D10" s="18">
        <f>D6*Assumptions!B9</f>
        <v>28843979.457580775</v>
      </c>
      <c r="E10" s="18">
        <f>E6*Assumptions!B9</f>
        <v>32613422.48023236</v>
      </c>
      <c r="F10" s="18">
        <f>F6*Assumptions!B9</f>
        <v>36875470.92586009</v>
      </c>
    </row>
    <row r="11" spans="1:6" x14ac:dyDescent="0.25">
      <c r="A11" t="s">
        <v>47</v>
      </c>
      <c r="B11" s="18">
        <f>-B6*Assumptions!B10</f>
        <v>-23550060.069133613</v>
      </c>
      <c r="C11" s="18">
        <f>-C6*Assumptions!B10</f>
        <v>-26627673.18909757</v>
      </c>
      <c r="D11" s="18">
        <f>-D6*Assumptions!B10</f>
        <v>-30107480.719112672</v>
      </c>
      <c r="E11" s="18">
        <f>-E6*Assumptions!B10</f>
        <v>-34042042.98342081</v>
      </c>
      <c r="F11" s="18">
        <f>-F6*Assumptions!B10</f>
        <v>-38490789.09313751</v>
      </c>
    </row>
    <row r="12" spans="1:6" x14ac:dyDescent="0.25">
      <c r="A12" t="s">
        <v>48</v>
      </c>
      <c r="B12" s="18">
        <f>-(B6-Assumptions!B29)*Assumptions!B11</f>
        <v>-26129824.409670405</v>
      </c>
      <c r="C12" s="18">
        <f>-(C6-B6)*Assumptions!B11</f>
        <v>-29544571.131737474</v>
      </c>
      <c r="D12" s="18">
        <f>-(D6-C6)*Assumptions!B11</f>
        <v>-33405570.189566553</v>
      </c>
      <c r="E12" s="18">
        <f>-(E6-D6)*Assumptions!B11</f>
        <v>-37771139.56788149</v>
      </c>
      <c r="F12" s="18">
        <f>-(F6-E6)*Assumptions!B11</f>
        <v>-42707218.47166574</v>
      </c>
    </row>
    <row r="13" spans="1:6" x14ac:dyDescent="0.25">
      <c r="A13" s="19" t="s">
        <v>49</v>
      </c>
      <c r="B13" s="20">
        <f>B9+B10+B11+B12</f>
        <v>740540955.6348289</v>
      </c>
      <c r="C13" s="20">
        <f>C9+C10+C11+C12</f>
        <v>837317717.7425207</v>
      </c>
      <c r="D13" s="20">
        <f>D9+D10+D11+D12</f>
        <v>946741642.188479</v>
      </c>
      <c r="E13" s="20">
        <f>E9+E10+E11+E12</f>
        <v>1070465509.1621517</v>
      </c>
      <c r="F13" s="20">
        <f>F9+F10+F11+F12</f>
        <v>1210358090.5736237</v>
      </c>
    </row>
    <row r="14" spans="1:6" x14ac:dyDescent="0.25">
      <c r="A14" t="s">
        <v>50</v>
      </c>
      <c r="B14" s="21">
        <f>1/(1+Assumptions!$B$26)^(1-0.5*Assumptions!$B$32)</f>
        <v>0.9505678161280382</v>
      </c>
      <c r="C14" s="21">
        <f>1/(1+Assumptions!$B$26)^(2-0.5*Assumptions!$B$32)</f>
        <v>0.8589132812329281</v>
      </c>
      <c r="D14" s="21">
        <f>1/(1+Assumptions!$B$26)^(3-0.5*Assumptions!$B$32)</f>
        <v>0.7760961523853499</v>
      </c>
      <c r="E14" s="21">
        <f>1/(1+Assumptions!$B$26)^(4-0.5*Assumptions!$B$32)</f>
        <v>0.7012643195861819</v>
      </c>
      <c r="F14" s="21">
        <f>1/(1+Assumptions!$B$26)^(5-0.5*Assumptions!$B$32)</f>
        <v>0.6336478339870633</v>
      </c>
    </row>
    <row r="15" spans="1:6" x14ac:dyDescent="0.25">
      <c r="A15" s="19" t="s">
        <v>51</v>
      </c>
      <c r="B15" s="20">
        <f>B13*B14</f>
        <v>703934398.9511697</v>
      </c>
      <c r="C15" s="20">
        <f>C13*C14</f>
        <v>719183308.3806952</v>
      </c>
      <c r="D15" s="20">
        <f>D13*D14</f>
        <v>734762545.8054662</v>
      </c>
      <c r="E15" s="20">
        <f>E13*E14</f>
        <v>750679266.923072</v>
      </c>
      <c r="F15" s="20">
        <f>F13*F14</f>
        <v>766940782.4406943</v>
      </c>
    </row>
    <row r="17" spans="1:2" x14ac:dyDescent="0.25">
      <c r="A17" s="22" t="s">
        <v>52</v>
      </c>
      <c r="B17" s="23">
        <f>SUM(B15:F15)</f>
        <v>3675500302.501097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1210358090.5736237</v>
      </c>
    </row>
    <row r="5" spans="1:2" x14ac:dyDescent="0.25">
      <c r="A5" t="s">
        <v>56</v>
      </c>
      <c r="B5" s="18">
        <f>IF(Assumptions!$B$33=0,B4,B4-Forecast!F11-Forecast!F10-Forecast!F12)</f>
        <v>1254680627.2125669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0.055382621866171884</v>
      </c>
    </row>
    <row r="7" spans="1:2" x14ac:dyDescent="0.25">
      <c r="A7" t="s">
        <v>58</v>
      </c>
      <c r="B7" s="18">
        <f>-MAX(Forecast!F9,0)*B6</f>
        <v>-69487502.73972496</v>
      </c>
    </row>
    <row r="8" spans="1:2" x14ac:dyDescent="0.25">
      <c r="A8" t="s">
        <v>59</v>
      </c>
      <c r="B8" s="18">
        <f>IF(OR(Assumptions!$B$33=0,Assumptions!B12&lt;=0),B5,MAX(B5+B7,0))</f>
        <v>1185193124.472842</v>
      </c>
    </row>
    <row r="9" spans="1:2" x14ac:dyDescent="0.25">
      <c r="A9" t="s">
        <v>60</v>
      </c>
      <c r="B9" s="18">
        <f>B8*(1+Assumptions!B12)/(Assumptions!B26-Assumptions!B12)</f>
        <v>14867515687.661308</v>
      </c>
    </row>
    <row r="10" spans="1:2" x14ac:dyDescent="0.25">
      <c r="A10" t="s">
        <v>61</v>
      </c>
      <c r="B10" s="18">
        <f>B9/(1+Assumptions!B26)^(5-0.5*Assumptions!B32)</f>
        <v>9420769112.255272</v>
      </c>
    </row>
    <row r="11" spans="1:2" x14ac:dyDescent="0.25">
      <c r="A11" t="s">
        <v>62</v>
      </c>
      <c r="B11" s="18">
        <f>Forecast!B17+B10</f>
        <v>13096269414.756369</v>
      </c>
    </row>
    <row r="12" spans="1:2" x14ac:dyDescent="0.25">
      <c r="A12" t="s">
        <v>63</v>
      </c>
      <c r="B12" s="18">
        <f>-Assumptions!B30</f>
        <v>-2940742000</v>
      </c>
    </row>
    <row r="13" spans="1:2" x14ac:dyDescent="0.25">
      <c r="A13" t="s">
        <v>64</v>
      </c>
      <c r="B13" s="18">
        <f>B11+B12</f>
        <v>10155527414.756369</v>
      </c>
    </row>
    <row r="14" spans="1:2" x14ac:dyDescent="0.25">
      <c r="A14" s="19" t="s">
        <v>65</v>
      </c>
      <c r="B14" s="24">
        <f>B13/Assumptions!B31</f>
        <v>413.48183765955656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1613800148.5124178</v>
      </c>
    </row>
    <row r="18" spans="1:2" x14ac:dyDescent="0.25">
      <c r="A18" t="s">
        <v>60</v>
      </c>
      <c r="B18" s="18">
        <f>B17*Assumptions!B13</f>
        <v>32276002970.248356</v>
      </c>
    </row>
    <row r="19" spans="1:2" x14ac:dyDescent="0.25">
      <c r="A19" t="s">
        <v>61</v>
      </c>
      <c r="B19" s="18">
        <f>B18/(1+Assumptions!B26)^(5-0.5*Assumptions!B32)</f>
        <v>20451619371.85789</v>
      </c>
    </row>
    <row r="20" spans="1:2" x14ac:dyDescent="0.25">
      <c r="A20" t="s">
        <v>62</v>
      </c>
      <c r="B20" s="18">
        <f>Forecast!B17+B19</f>
        <v>24127119674.35899</v>
      </c>
    </row>
    <row r="21" spans="1:2" x14ac:dyDescent="0.25">
      <c r="A21" t="s">
        <v>63</v>
      </c>
      <c r="B21" s="18">
        <f>-Assumptions!B30</f>
        <v>-2940742000</v>
      </c>
    </row>
    <row r="22" spans="1:2" x14ac:dyDescent="0.25">
      <c r="A22" t="s">
        <v>64</v>
      </c>
      <c r="B22" s="18">
        <f>B20+B21</f>
        <v>21186377674.35899</v>
      </c>
    </row>
    <row r="23" spans="1:2" x14ac:dyDescent="0.25">
      <c r="A23" s="19" t="s">
        <v>65</v>
      </c>
      <c r="B23" s="25">
        <f>B22/Assumptions!B31</f>
        <v>862.6024052098445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949.68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413.48183765955656</v>
      </c>
    </row>
    <row r="29" spans="1:2" x14ac:dyDescent="0.25">
      <c r="A29" s="19" t="s">
        <v>73</v>
      </c>
      <c r="B29" s="12">
        <f>B28/B26-1</f>
        <v>-0.5646093024391832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0.08671</v>
      </c>
      <c r="B5" s="31">
        <v>517.8939601882671</v>
      </c>
      <c r="C5" s="31">
        <v>550.5274055974565</v>
      </c>
      <c r="D5" s="31">
        <v>588.3859749297997</v>
      </c>
      <c r="E5" s="31">
        <v>632.8517323511811</v>
      </c>
      <c r="F5" s="31">
        <v>685.8412862803896</v>
      </c>
    </row>
    <row r="6" spans="1:6" x14ac:dyDescent="0.25">
      <c r="A6" s="30">
        <v>0.09671</v>
      </c>
      <c r="B6" s="31">
        <v>438.3601360908229</v>
      </c>
      <c r="C6" s="31">
        <v>461.9127683064029</v>
      </c>
      <c r="D6" s="31">
        <v>488.69774516753347</v>
      </c>
      <c r="E6" s="31">
        <v>519.4418717961345</v>
      </c>
      <c r="F6" s="31">
        <v>555.107508369034</v>
      </c>
    </row>
    <row r="7" spans="1:6" x14ac:dyDescent="0.25">
      <c r="A7" s="30">
        <v>0.10671</v>
      </c>
      <c r="B7" s="31">
        <v>376.2595553213226</v>
      </c>
      <c r="C7" s="31">
        <v>393.8178213050247</v>
      </c>
      <c r="D7" s="32">
        <v>413.48105918128454</v>
      </c>
      <c r="E7" s="31">
        <v>435.6608786279586</v>
      </c>
      <c r="F7" s="31">
        <v>460.88368772699096</v>
      </c>
    </row>
    <row r="8" spans="1:6" x14ac:dyDescent="0.25">
      <c r="A8" s="30">
        <v>0.11671</v>
      </c>
      <c r="B8" s="31">
        <v>326.4465001239103</v>
      </c>
      <c r="C8" s="31">
        <v>339.8740059809094</v>
      </c>
      <c r="D8" s="31">
        <v>354.7280943880292</v>
      </c>
      <c r="E8" s="31">
        <v>371.2555504709971</v>
      </c>
      <c r="F8" s="31">
        <v>389.7635644774905</v>
      </c>
    </row>
    <row r="9" spans="1:6" x14ac:dyDescent="0.25">
      <c r="A9" s="30">
        <v>0.12671</v>
      </c>
      <c r="B9" s="31">
        <v>285.61795999964625</v>
      </c>
      <c r="C9" s="31">
        <v>296.1001563365262</v>
      </c>
      <c r="D9" s="31">
        <v>307.5804274761162</v>
      </c>
      <c r="E9" s="31">
        <v>320.2135776996767</v>
      </c>
      <c r="F9" s="31">
        <v>334.1881708089689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1990869000</v>
      </c>
      <c r="C5" s="18">
        <v>1717526000</v>
      </c>
      <c r="D5" s="18">
        <v>1513557000</v>
      </c>
      <c r="E5" s="18">
        <v>1377270000</v>
      </c>
      <c r="F5" s="8" t="s">
        <v>84</v>
      </c>
    </row>
    <row r="6" spans="1:6" x14ac:dyDescent="0.25">
      <c r="A6" t="s">
        <v>44</v>
      </c>
      <c r="B6" s="18">
        <v>935772000</v>
      </c>
      <c r="C6" s="18">
        <v>733629000</v>
      </c>
      <c r="D6" s="18">
        <v>640889000</v>
      </c>
      <c r="E6" s="18">
        <v>542414000</v>
      </c>
      <c r="F6" s="8" t="s">
        <v>85</v>
      </c>
    </row>
    <row r="7" spans="1:6" x14ac:dyDescent="0.25">
      <c r="A7" t="s">
        <v>86</v>
      </c>
      <c r="B7" s="18">
        <v>14952000</v>
      </c>
      <c r="C7" s="18">
        <v>13827000</v>
      </c>
      <c r="D7" s="18">
        <v>14638000</v>
      </c>
      <c r="E7" s="18">
        <v>20465000</v>
      </c>
      <c r="F7" s="8" t="s">
        <v>87</v>
      </c>
    </row>
    <row r="8" spans="1:6" x14ac:dyDescent="0.25">
      <c r="A8" t="s">
        <v>88</v>
      </c>
      <c r="B8" s="18">
        <v>39407000</v>
      </c>
      <c r="C8" s="18">
        <v>25551000</v>
      </c>
      <c r="D8" s="18">
        <v>4237000</v>
      </c>
      <c r="E8" s="18">
        <v>6029000</v>
      </c>
      <c r="F8" s="8" t="s">
        <v>89</v>
      </c>
    </row>
    <row r="9" spans="1:6" x14ac:dyDescent="0.25">
      <c r="A9" t="s">
        <v>90</v>
      </c>
      <c r="B9" s="18">
        <v>18547000</v>
      </c>
      <c r="C9" s="18">
        <v>20485000</v>
      </c>
      <c r="D9" s="18">
        <v>63448000</v>
      </c>
      <c r="E9" s="18">
        <v>35911000</v>
      </c>
      <c r="F9" s="8" t="s">
        <v>91</v>
      </c>
    </row>
    <row r="10" spans="1:6" x14ac:dyDescent="0.25">
      <c r="A10" t="s">
        <v>92</v>
      </c>
      <c r="B10" s="18">
        <v>3074878000</v>
      </c>
      <c r="C10" s="18">
        <v>2230984000</v>
      </c>
      <c r="D10" s="18">
        <v>1901897000</v>
      </c>
      <c r="E10" s="18">
        <v>1912230000</v>
      </c>
      <c r="F10" s="8" t="s">
        <v>93</v>
      </c>
    </row>
    <row r="11" spans="1:6" x14ac:dyDescent="0.25">
      <c r="A11" t="s">
        <v>94</v>
      </c>
      <c r="B11" s="18">
        <v>134136000</v>
      </c>
      <c r="C11" s="18">
        <v>150667000</v>
      </c>
      <c r="D11" s="18">
        <v>136778000</v>
      </c>
      <c r="E11" s="18">
        <v>133202000</v>
      </c>
      <c r="F11" s="8" t="s">
        <v>95</v>
      </c>
    </row>
    <row r="12" spans="1:6" x14ac:dyDescent="0.25">
      <c r="A12" t="s">
        <v>32</v>
      </c>
      <c r="B12" s="34">
        <v>24561000</v>
      </c>
      <c r="C12" s="34">
        <v>25079000</v>
      </c>
      <c r="D12" s="34">
        <v>25367000</v>
      </c>
      <c r="E12" s="34">
        <v>26347000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2026-09-19T00:06:17Z</dcterms:modified>
</cp:coreProperties>
</file>