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<sst xmlns="http://schemas.openxmlformats.org/spreadsheetml/2006/main" count="120" uniqueCount="107">
  <si>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Fidelity National Information Services, Inc. (FIS)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</si>
  <si>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</si>
  <si>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</si>
  <si>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</si>
  <si>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</si>
  <si>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</si>
  <si>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</si>
  <si>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</si>
  <si>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</si>
  <si>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</si>
  <si>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</si>
  <si>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</si>
  <si>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</si>
  <si>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</si>
  <si>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</si>
  <si>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</si>
  <si>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</si>
  <si>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</si>
  <si>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</si>
  <si>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</si>
  <si>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</si>
  <si>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</si>
  <si>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</si>
  <si>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</si>
  <si>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4.5x interest cover. Book interest / average debt was lower, at 3.1%.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</si>
  <si>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</si>
  <si>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</si>
  <si>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</si>
  <si>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</si>
  <si>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</si>
  <si>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</si>
  <si>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</si>
  <si>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</si>
  <si>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</si>
  <si>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</si>
  <si>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</si>
  <si>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</si>
  <si>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</si>
  <si>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</si>
  <si>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</si>
  <si>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</si>
  <si>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</si>
  <si>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</si>
  <si>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</si>
  <si>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</si>
  <si>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</si>
  <si>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</si>
  <si>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</si>
  <si>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</si>
  <si>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</si>
  <si>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</si>
  <si>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</si>
  <si>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</si>
  <si>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</si>
  <si>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</si>
  <si>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</si>
  <si>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</si>
  <si>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</si>
  <si>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</si>
  <si>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</si>
  <si>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</si>
  <si>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</si>
  <si>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</si>
  <si>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</si>
  <si>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</si>
  <si>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</si>
  <si>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</si>
  <si>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</si>
  <si>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</si>
  <si>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</si>
  <si>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</si>
  <si>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</si>
  <si>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</si>
  <si>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</si>
  <si>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</si>
  <si>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</si>
  <si>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</si>
  <si>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</si>
  <si>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</si>
  <si>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</si>
  <si>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</si>
  <si>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</si>
  <si>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</si>
  <si>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</si>
  <si>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</si>
  <si>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</si>
  <si>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</si>
  <si>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</si>
  <si>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</si>
  <si>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</si>
  <si>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</si>
  <si>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</si>
  <si>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</si>
  <si>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</si>
  <si>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</si>
  <si>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</si>
  <si>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</si>
  <si>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</si>
  <si>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</si>
  <si>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</si>
  <si>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</si>
  <si>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</si>
  <si>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</si>
  <si>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</si>
  <si>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</si>
  <si>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8.88% of revenue against depreciation and amortisation of 17.96%. A business cannot depreciate more than it invests indefinitely. Capex has been set to 17.96%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</si>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</sst>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0.2794483403577783</v>
      </c>
    </row>
    <row r="7" spans="1:2" x14ac:dyDescent="0.25">
      <c r="A7" t="s">
        <v>4</v>
      </c>
      <c r="B7" s="5">
        <v>0.15722607796997773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0.17962249469654604</v>
      </c>
    </row>
    <row r="10" spans="1:3" x14ac:dyDescent="0.25">
      <c r="A10" t="s">
        <v>7</v>
      </c>
      <c r="B10" s="5">
        <v>0.17962249469654604</v>
      </c>
      <c r="C10" s="6" t="s">
        <v>8</v>
      </c>
    </row>
    <row r="11" spans="1:2" x14ac:dyDescent="0.25">
      <c r="A11" t="s">
        <v>9</v>
      </c>
      <c r="B11" s="5">
        <v>0.16410338351711018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9.156327327841845</v>
      </c>
    </row>
    <row r="14" spans="1:3" x14ac:dyDescent="0.25">
      <c r="A14" t="s">
        <v>12</v>
      </c>
      <c r="B14" s="5">
        <v>0.07048224663106696</v>
      </c>
      <c r="C14" s="6" t="s">
        <v>13</v>
      </c>
    </row>
    <row r="15" spans="1:3" x14ac:dyDescent="0.25">
      <c r="A15" t="s">
        <v>14</v>
      </c>
      <c r="B15" s="5">
        <v>0.17962249469654604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0.90151</v>
      </c>
      <c r="C19" s="6" t="s">
        <v>21</v>
      </c>
    </row>
    <row r="20" spans="1:2" x14ac:dyDescent="0.25">
      <c r="A20" t="s">
        <v>22</v>
      </c>
      <c r="B20" s="9">
        <f>B17+B19*B18</f>
        <v>0.087073873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20615344128</v>
      </c>
    </row>
    <row r="23" spans="1:2" x14ac:dyDescent="0.25">
      <c r="A23" t="s">
        <v>26</v>
      </c>
      <c r="B23" s="10">
        <v>13331000000</v>
      </c>
    </row>
    <row r="24" spans="1:2" x14ac:dyDescent="0.25">
      <c r="A24" t="s">
        <v>27</v>
      </c>
      <c r="B24" s="9">
        <f>B22/(B22+B23)</f>
        <v>0.6072920268016674</v>
      </c>
    </row>
    <row r="25" spans="1:2" x14ac:dyDescent="0.25">
      <c r="A25" t="s">
        <v>28</v>
      </c>
      <c r="B25" s="9">
        <f>1-B24</f>
        <v>0.3927079731983326</v>
      </c>
    </row>
    <row r="26" spans="1:2" x14ac:dyDescent="0.25">
      <c r="A26" t="s">
        <v>29</v>
      </c>
      <c r="B26" s="11">
        <f>B24*B20+B25*B21*(1-B8)</f>
        <v>0.07048224663106696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10677000000</v>
      </c>
      <c r="C29" s="6" t="s">
        <v>32</v>
      </c>
    </row>
    <row r="30" spans="1:2" x14ac:dyDescent="0.25">
      <c r="A30" t="s">
        <v>33</v>
      </c>
      <c r="B30" s="10">
        <v>12732000000</v>
      </c>
    </row>
    <row r="31" spans="1:2" x14ac:dyDescent="0.25">
      <c r="A31" t="s">
        <v>34</v>
      </c>
      <c r="B31" s="12">
        <v>525000000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0.2794483403577783</v>
      </c>
      <c r="C5" s="5">
        <v>0.04258973190782589</v>
      </c>
      <c r="D5" s="5">
        <v>0.040391015419347656</v>
      </c>
      <c r="E5" s="5">
        <v>0.038192298930869416</v>
      </c>
      <c r="F5" s="5">
        <v>0.03599358244239118</v>
      </c>
      <c r="G5" s="5">
        <v>0.03379486595391294</v>
      </c>
      <c r="H5" s="5">
        <v>0.03159614946543471</v>
      </c>
      <c r="I5" s="5">
        <v>0.029397432976956475</v>
      </c>
      <c r="J5" s="5">
        <v>0.02719871648847824</v>
      </c>
      <c r="K5" s="5">
        <v>0.025</v>
      </c>
    </row>
    <row r="6" spans="1:11" x14ac:dyDescent="0.25">
      <c r="A6" t="s">
        <v>50</v>
      </c>
      <c r="B6" s="18">
        <f>Assumptions!B29*(1+B5)</f>
        <v>13660669930</v>
      </c>
      <c r="C6" s="18">
        <f>B6*(1+C5)</f>
        <v>14242474199.999998</v>
      </c>
      <c r="D6" s="18">
        <f>C6*(1+D5)</f>
        <v>14817742195.021858</v>
      </c>
      <c r="E6" s="18">
        <f>D6*(1+E5)</f>
        <v>15383665834.41469</v>
      </c>
      <c r="F6" s="18">
        <f>E6*(1+F5)</f>
        <v>15937379078.891891</v>
      </c>
      <c r="G6" s="18">
        <f>F6*(1+G5)</f>
        <v>16475980668.51974</v>
      </c>
      <c r="H6" s="18">
        <f>G6*(1+H5)</f>
        <v>16996558216.311901</v>
      </c>
      <c r="I6" s="18">
        <f>H6*(1+I5)</f>
        <v>17496213397.31487</v>
      </c>
      <c r="J6" s="18">
        <f>I6*(1+J5)</f>
        <v>17972087945.13035</v>
      </c>
      <c r="K6" s="18">
        <f>J6*(1+K5)</f>
        <v>18421390143.758606</v>
      </c>
    </row>
    <row r="7" spans="1:11" x14ac:dyDescent="0.25">
      <c r="A7" t="s">
        <v>4</v>
      </c>
      <c r="B7" s="9">
        <f>Assumptions!B7</f>
        <v>0.15722607796997773</v>
      </c>
      <c r="C7" s="9">
        <f>Assumptions!B7</f>
        <v>0.15722607796997773</v>
      </c>
      <c r="D7" s="9">
        <f>Assumptions!B7</f>
        <v>0.15722607796997773</v>
      </c>
      <c r="E7" s="9">
        <f>Assumptions!B7</f>
        <v>0.15722607796997773</v>
      </c>
      <c r="F7" s="9">
        <f>Assumptions!B7</f>
        <v>0.15722607796997773</v>
      </c>
      <c r="G7" s="9">
        <f>Assumptions!B7</f>
        <v>0.15722607796997773</v>
      </c>
      <c r="H7" s="9">
        <f>Assumptions!B7</f>
        <v>0.15722607796997773</v>
      </c>
      <c r="I7" s="9">
        <f>Assumptions!B7</f>
        <v>0.15722607796997773</v>
      </c>
      <c r="J7" s="9">
        <f>Assumptions!B7</f>
        <v>0.15722607796997773</v>
      </c>
      <c r="K7" s="9">
        <f>Assumptions!B7</f>
        <v>0.15722607796997773</v>
      </c>
    </row>
    <row r="8" spans="1:11" x14ac:dyDescent="0.25">
      <c r="A8" t="s">
        <v>51</v>
      </c>
      <c r="B8" s="18">
        <f>B6*B7</f>
        <v>2147813555.53631</v>
      </c>
      <c r="C8" s="18">
        <f>C6*C7</f>
        <v>2239288359.054596</v>
      </c>
      <c r="D8" s="18">
        <f>D6*D7</f>
        <v>2329735489.693536</v>
      </c>
      <c r="E8" s="18">
        <f>E6*E7</f>
        <v>2418713443.9457664</v>
      </c>
      <c r="F8" s="18">
        <f>F6*F7</f>
        <v>2505771605.694948</v>
      </c>
      <c r="G8" s="18">
        <f>G6*G7</f>
        <v>2590453821.2205305</v>
      </c>
      <c r="H8" s="18">
        <f>H6*H7</f>
        <v>2672302187.3391204</v>
      </c>
      <c r="I8" s="18">
        <f>I6*I7</f>
        <v>2750861011.7855964</v>
      </c>
      <c r="J8" s="18">
        <f>J6*J7</f>
        <v>2825680900.544361</v>
      </c>
      <c r="K8" s="18">
        <f>K6*K7</f>
        <v>2896322923.05797</v>
      </c>
    </row>
    <row r="9" spans="1:11" x14ac:dyDescent="0.25">
      <c r="A9" t="s">
        <v>52</v>
      </c>
      <c r="B9" s="18">
        <f>B8*(1-Assumptions!B8)</f>
        <v>1696772708.8736851</v>
      </c>
      <c r="C9" s="18">
        <f>C8*(1-Assumptions!B8)</f>
        <v>1769037803.6531308</v>
      </c>
      <c r="D9" s="18">
        <f>D8*(1-Assumptions!B8)</f>
        <v>1840491036.8578935</v>
      </c>
      <c r="E9" s="18">
        <f>E8*(1-Assumptions!B8)</f>
        <v>1910783620.7171557</v>
      </c>
      <c r="F9" s="18">
        <f>F8*(1-Assumptions!B8)</f>
        <v>1979559568.4990091</v>
      </c>
      <c r="G9" s="18">
        <f>G8*(1-Assumptions!B8)</f>
        <v>2046458518.7642193</v>
      </c>
      <c r="H9" s="18">
        <f>H8*(1-Assumptions!B8)</f>
        <v>2111118727.9979053</v>
      </c>
      <c r="I9" s="18">
        <f>I8*(1-Assumptions!B8)</f>
        <v>2173180199.3106213</v>
      </c>
      <c r="J9" s="18">
        <f>J8*(1-Assumptions!B8)</f>
        <v>2232287911.4300456</v>
      </c>
      <c r="K9" s="18">
        <f>K8*(1-Assumptions!B8)</f>
        <v>2288095109.2157965</v>
      </c>
    </row>
    <row r="10" spans="1:11" x14ac:dyDescent="0.25">
      <c r="A10" t="s">
        <v>53</v>
      </c>
      <c r="B10" s="18">
        <f>B6*Assumptions!B9</f>
        <v>2453763612.052691</v>
      </c>
      <c r="C10" s="18">
        <f>C6*Assumptions!B9</f>
        <v>2558268746.4551935</v>
      </c>
      <c r="D10" s="18">
        <f>D6*Assumptions!B9</f>
        <v>2661599818.8401003</v>
      </c>
      <c r="E10" s="18">
        <f>E6*Assumptions!B9</f>
        <v>2763252434.755589</v>
      </c>
      <c r="F10" s="18">
        <f>F6*Assumptions!B9</f>
        <v>2862711789.0751023</v>
      </c>
      <c r="G10" s="18">
        <f>G6*Assumptions!B9</f>
        <v>2959456750.2515817</v>
      </c>
      <c r="H10" s="18">
        <f>H6*Assumptions!B9</f>
        <v>3052964188.0690203</v>
      </c>
      <c r="I10" s="18">
        <f>I6*Assumptions!B9</f>
        <v>3142713498.1688275</v>
      </c>
      <c r="J10" s="18">
        <f>J6*Assumptions!B9</f>
        <v>3228191271.610035</v>
      </c>
      <c r="K10" s="18">
        <f>K6*Assumptions!B9</f>
        <v>3308896053.4002857</v>
      </c>
    </row>
    <row r="11" spans="1:11" x14ac:dyDescent="0.25">
      <c r="A11" t="s">
        <v>54</v>
      </c>
      <c r="B11" s="18">
        <f>-B6*B19</f>
        <v>-2453763612.052691</v>
      </c>
      <c r="C11" s="18">
        <f>-C6*C19</f>
        <v>-2627988344.4237194</v>
      </c>
      <c r="D11" s="18">
        <f>-D6*D19</f>
        <v>-2806671105.490307</v>
      </c>
      <c r="E11" s="18">
        <f>-E6*E19</f>
        <v>-2989170273.649945</v>
      </c>
      <c r="F11" s="18">
        <f>-F6*F19</f>
        <v>-3174777697.4135113</v>
      </c>
      <c r="G11" s="18">
        <f>-G6*G19</f>
        <v>-3362721917.600946</v>
      </c>
      <c r="H11" s="18">
        <f>-H6*H19</f>
        <v>-3552172340.6903863</v>
      </c>
      <c r="I11" s="18">
        <f>-I6*I19</f>
        <v>-3742244354.136698</v>
      </c>
      <c r="J11" s="18">
        <f>-J6*J19</f>
        <v>-3932005358.1762457</v>
      </c>
      <c r="K11" s="18">
        <f>-K6*K19</f>
        <v>-4120481671.9719477</v>
      </c>
    </row>
    <row r="12" spans="1:11" x14ac:dyDescent="0.25">
      <c r="A12" t="s">
        <v>55</v>
      </c>
      <c r="B12" s="18">
        <f>-(B6-Assumptions!B29)*Assumptions!B11</f>
        <v>-489630330.81125927</v>
      </c>
      <c r="C12" s="18">
        <f>-(C6-B6)*Assumptions!B11</f>
        <v>-95476049.25170201</v>
      </c>
      <c r="D12" s="18">
        <f>-(D6-C6)*Assumptions!B11</f>
        <v>-94403424.41219135</v>
      </c>
      <c r="E12" s="18">
        <f>-(E6-D6)*Assumptions!B11</f>
        <v>-92869984.03668064</v>
      </c>
      <c r="F12" s="18">
        <f>-(F6-E6)*Assumptions!B11</f>
        <v>-90866216.91694558</v>
      </c>
      <c r="G12" s="18">
        <f>-(G6-F6)*Assumptions!B11</f>
        <v>-88386343.22562388</v>
      </c>
      <c r="H12" s="18">
        <f>-(H6-G6)*Assumptions!B11</f>
        <v>-85428536.9757339</v>
      </c>
      <c r="I12" s="18">
        <f>-(I6-H6)*Assumptions!B11</f>
        <v>-81995105.79444113</v>
      </c>
      <c r="J12" s="18">
        <f>-(J6-I6)*Assumptions!B11</f>
        <v>-78092623.42619498</v>
      </c>
      <c r="K12" s="18">
        <f>-(K6-J6)*Assumptions!B11</f>
        <v>-73732011.0165738</v>
      </c>
    </row>
    <row r="13" spans="1:11" x14ac:dyDescent="0.25">
      <c r="A13" s="19" t="s">
        <v>56</v>
      </c>
      <c r="B13" s="20">
        <f>B9+B10+B11+B12</f>
        <v>1207142378.062426</v>
      </c>
      <c r="C13" s="20">
        <f>C9+C10+C11+C12</f>
        <v>1603842156.4329026</v>
      </c>
      <c r="D13" s="20">
        <f>D9+D10+D11+D12</f>
        <v>1601016325.795496</v>
      </c>
      <c r="E13" s="20">
        <f>E9+E10+E11+E12</f>
        <v>1591995797.7861195</v>
      </c>
      <c r="F13" s="20">
        <f>F9+F10+F11+F12</f>
        <v>1576627443.2436552</v>
      </c>
      <c r="G13" s="20">
        <f>G9+G10+G11+G12</f>
        <v>1554807008.1892307</v>
      </c>
      <c r="H13" s="20">
        <f>H9+H10+H11+H12</f>
        <v>1526482038.4008048</v>
      </c>
      <c r="I13" s="20">
        <f>I9+I10+I11+I12</f>
        <v>1491654237.5483093</v>
      </c>
      <c r="J13" s="20">
        <f>J9+J10+J11+J12</f>
        <v>1450381201.4376404</v>
      </c>
      <c r="K13" s="20">
        <f>K9+K10+K11+K12</f>
        <v>1402777479.6275606</v>
      </c>
    </row>
    <row r="14" spans="1:11" x14ac:dyDescent="0.25">
      <c r="A14" t="s">
        <v>57</v>
      </c>
      <c r="B14" s="21">
        <f>1/(1+Assumptions!$B$26)^(1-0.5*Assumptions!$B$32)</f>
        <v>0.9665187096597643</v>
      </c>
      <c r="C14" s="21">
        <f>1/(1+Assumptions!$B$26)^(2-0.5*Assumptions!$B$32)</f>
        <v>0.9028815869684078</v>
      </c>
      <c r="D14" s="21">
        <f>1/(1+Assumptions!$B$26)^(3-0.5*Assumptions!$B$32)</f>
        <v>0.8434344332284649</v>
      </c>
      <c r="E14" s="21">
        <f>1/(1+Assumptions!$B$26)^(4-0.5*Assumptions!$B$32)</f>
        <v>0.7879013742477764</v>
      </c>
      <c r="F14" s="21">
        <f>1/(1+Assumptions!$B$26)^(5-0.5*Assumptions!$B$32)</f>
        <v>0.7360246998279459</v>
      </c>
      <c r="G14" s="21">
        <f>1/(1+Assumptions!$B$26)^(6-0.5*Assumptions!$B$32)</f>
        <v>0.6875636678182211</v>
      </c>
      <c r="H14" s="21">
        <f>1/(1+Assumptions!$B$26)^(7-0.5*Assumptions!$B$32)</f>
        <v>0.6422933869123607</v>
      </c>
      <c r="I14" s="21">
        <f>1/(1+Assumptions!$B$26)^(8-0.5*Assumptions!$B$32)</f>
        <v>0.6000037730039272</v>
      </c>
      <c r="J14" s="21">
        <f>1/(1+Assumptions!$B$26)^(9-0.5*Assumptions!$B$32)</f>
        <v>0.560498574256798</v>
      </c>
      <c r="K14" s="21">
        <f>1/(1+Assumptions!$B$26)^(10-0.5*Assumptions!$B$32)</f>
        <v>0.5235944603665803</v>
      </c>
    </row>
    <row r="15" spans="1:11" x14ac:dyDescent="0.25">
      <c r="A15" s="19" t="s">
        <v>58</v>
      </c>
      <c r="B15" s="20">
        <f>B13*B14</f>
        <v>1166725693.6205153</v>
      </c>
      <c r="C15" s="20">
        <f>C13*C14</f>
        <v>1448079551.4469724</v>
      </c>
      <c r="D15" s="20">
        <f>D13*D14</f>
        <v>1350352297.3368435</v>
      </c>
      <c r="E15" s="20">
        <f>E13*E14</f>
        <v>1254335676.8723686</v>
      </c>
      <c r="F15" s="20">
        <f>F13*F14</f>
        <v>1160436740.6539133</v>
      </c>
      <c r="G15" s="20">
        <f>G13*G14</f>
        <v>1069028809.3000624</v>
      </c>
      <c r="H15" s="20">
        <f>H13*H14</f>
        <v>980449318.5053371</v>
      </c>
      <c r="I15" s="20">
        <f>I13*I14</f>
        <v>894998170.5462818</v>
      </c>
      <c r="J15" s="20">
        <f>J13*J14</f>
        <v>812936595.5346593</v>
      </c>
      <c r="K15" s="20">
        <f>K13*K14</f>
        <v>734486517.4599842</v>
      </c>
    </row>
    <row r="17" spans="1:2" x14ac:dyDescent="0.25">
      <c r="A17" s="22" t="s">
        <v>59</v>
      </c>
      <c r="B17" s="23">
        <f>SUM(B15:K15)</f>
        <v>10871829371.276937</v>
      </c>
    </row>
    <row r="19" spans="1:11" x14ac:dyDescent="0.25">
      <c r="A19" t="s">
        <v>7</v>
      </c>
      <c r="B19" s="9">
        <f>Assumptions!$B$10+($B$20-Assumptions!$B$10)*0/9</f>
        <v>0.17962249469654604</v>
      </c>
      <c r="C19" s="9">
        <f>Assumptions!$B$10+($B$20-Assumptions!$B$10)*1/9</f>
        <v>0.18451768334070212</v>
      </c>
      <c r="D19" s="9">
        <f>Assumptions!$B$10+($B$20-Assumptions!$B$10)*2/9</f>
        <v>0.18941287198485818</v>
      </c>
      <c r="E19" s="9">
        <f>Assumptions!$B$10+($B$20-Assumptions!$B$10)*3/9</f>
        <v>0.19430806062901426</v>
      </c>
      <c r="F19" s="9">
        <f>Assumptions!$B$10+($B$20-Assumptions!$B$10)*4/9</f>
        <v>0.19920324927317035</v>
      </c>
      <c r="G19" s="9">
        <f>Assumptions!$B$10+($B$20-Assumptions!$B$10)*5/9</f>
        <v>0.2040984379173264</v>
      </c>
      <c r="H19" s="9">
        <f>Assumptions!$B$10+($B$20-Assumptions!$B$10)*6/9</f>
        <v>0.2089936265614825</v>
      </c>
      <c r="I19" s="9">
        <f>Assumptions!$B$10+($B$20-Assumptions!$B$10)*7/9</f>
        <v>0.21388881520563857</v>
      </c>
      <c r="J19" s="9">
        <f>Assumptions!$B$10+($B$20-Assumptions!$B$10)*8/9</f>
        <v>0.21878400384979463</v>
      </c>
      <c r="K19" s="9">
        <f>Assumptions!$B$10+($B$20-Assumptions!$B$10)*9/9</f>
        <v>0.2236791924939507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0.2236791924939507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1402777479.6275606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2288095109.2157965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0.3546992497395872</v>
      </c>
    </row>
    <row r="7" spans="1:2" x14ac:dyDescent="0.25">
      <c r="A7" t="s">
        <v>66</v>
      </c>
      <c r="B7" s="18">
        <f>-MAX(B5,0)*B6</f>
        <v>-811585618.5716618</v>
      </c>
    </row>
    <row r="8" spans="1:2" x14ac:dyDescent="0.25">
      <c r="A8" t="s">
        <v>67</v>
      </c>
      <c r="B8" s="18">
        <f>IF(OR(Assumptions!$B$33=0,Assumptions!B12&lt;=0),B5,MAX(B5+B7,0))</f>
        <v>1476509490.6441345</v>
      </c>
    </row>
    <row r="9" spans="1:2" x14ac:dyDescent="0.25">
      <c r="A9" t="s">
        <v>68</v>
      </c>
      <c r="B9" s="18">
        <f>B8*(1+Assumptions!B12)/(Assumptions!B26-Assumptions!B12)</f>
        <v>33275010361.438133</v>
      </c>
    </row>
    <row r="10" spans="1:2" x14ac:dyDescent="0.25">
      <c r="A10" t="s">
        <v>69</v>
      </c>
      <c r="B10" s="18">
        <f>B9/(1+Assumptions!B26)^(10-0.5*Assumptions!B32)</f>
        <v>17422611093.88957</v>
      </c>
    </row>
    <row r="11" spans="1:2" x14ac:dyDescent="0.25">
      <c r="A11" t="s">
        <v>70</v>
      </c>
      <c r="B11" s="18">
        <f>Forecast!B17+B10</f>
        <v>28294440465.166504</v>
      </c>
    </row>
    <row r="12" spans="1:2" x14ac:dyDescent="0.25">
      <c r="A12" t="s">
        <v>71</v>
      </c>
      <c r="B12" s="18">
        <f>-Assumptions!B30</f>
        <v>-12732000000</v>
      </c>
    </row>
    <row r="13" spans="1:2" x14ac:dyDescent="0.25">
      <c r="A13" t="s">
        <v>72</v>
      </c>
      <c r="B13" s="18">
        <f>B11+B12</f>
        <v>15562440465.166504</v>
      </c>
    </row>
    <row r="14" spans="1:2" x14ac:dyDescent="0.25">
      <c r="A14" s="19" t="s">
        <v>73</v>
      </c>
      <c r="B14" s="24">
        <f>B13/Assumptions!B31</f>
        <v>29.642743743174293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6205218976.458256</v>
      </c>
    </row>
    <row r="18" spans="1:2" x14ac:dyDescent="0.25">
      <c r="A18" t="s">
        <v>68</v>
      </c>
      <c r="B18" s="18">
        <f>B17*Assumptions!B13</f>
        <v>56817016089.387535</v>
      </c>
    </row>
    <row r="19" spans="1:2" x14ac:dyDescent="0.25">
      <c r="A19" t="s">
        <v>69</v>
      </c>
      <c r="B19" s="18">
        <f>B18/(1+Assumptions!B26)^(10-0.5*Assumptions!B32)</f>
        <v>29749074878.962177</v>
      </c>
    </row>
    <row r="20" spans="1:2" x14ac:dyDescent="0.25">
      <c r="A20" t="s">
        <v>70</v>
      </c>
      <c r="B20" s="18">
        <f>Forecast!B17+B19</f>
        <v>40620904250.23911</v>
      </c>
    </row>
    <row r="21" spans="1:2" x14ac:dyDescent="0.25">
      <c r="A21" t="s">
        <v>71</v>
      </c>
      <c r="B21" s="18">
        <f>-Assumptions!B30</f>
        <v>-12732000000</v>
      </c>
    </row>
    <row r="22" spans="1:2" x14ac:dyDescent="0.25">
      <c r="A22" t="s">
        <v>72</v>
      </c>
      <c r="B22" s="18">
        <f>B20+B21</f>
        <v>27888904250.239113</v>
      </c>
    </row>
    <row r="23" spans="1:2" x14ac:dyDescent="0.25">
      <c r="A23" s="19" t="s">
        <v>73</v>
      </c>
      <c r="B23" s="25">
        <f>B22/Assumptions!B31</f>
        <v>53.121722381407835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39.975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29.642743743174293</v>
      </c>
    </row>
    <row r="29" spans="1:2" x14ac:dyDescent="0.25">
      <c r="A29" s="19" t="s">
        <v>81</v>
      </c>
      <c r="B29" s="11">
        <f>B28/B26-1</f>
        <v>-0.2584679488886982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0.050482</v>
      </c>
      <c r="B5" s="31">
        <v>54.025013938557606</v>
      </c>
      <c r="C5" s="31">
        <v>52.865147628213876</v>
      </c>
      <c r="D5" s="31">
        <v>51.70528131787013</v>
      </c>
      <c r="E5" s="31">
        <v>50.54541500752642</v>
      </c>
      <c r="F5" s="31">
        <v>49.385548697182664</v>
      </c>
    </row>
    <row r="6" spans="1:6" x14ac:dyDescent="0.25">
      <c r="A6" s="30">
        <v>0.060482</v>
      </c>
      <c r="B6" s="31">
        <v>40.664119957196206</v>
      </c>
      <c r="C6" s="31">
        <v>39.75021734265786</v>
      </c>
      <c r="D6" s="31">
        <v>38.836314728119504</v>
      </c>
      <c r="E6" s="31">
        <v>37.92241211358117</v>
      </c>
      <c r="F6" s="31">
        <v>37.00850949904282</v>
      </c>
    </row>
    <row r="7" spans="1:6" x14ac:dyDescent="0.25">
      <c r="A7" s="30">
        <v>0.070482</v>
      </c>
      <c r="B7" s="31">
        <v>31.1249353641502</v>
      </c>
      <c r="C7" s="31">
        <v>30.38393669817401</v>
      </c>
      <c r="D7" s="32">
        <v>29.642938032197804</v>
      </c>
      <c r="E7" s="31">
        <v>28.901939366221605</v>
      </c>
      <c r="F7" s="31">
        <v>28.16094070024539</v>
      </c>
    </row>
    <row r="8" spans="1:6" x14ac:dyDescent="0.25">
      <c r="A8" s="30">
        <v>0.080482</v>
      </c>
      <c r="B8" s="31">
        <v>23.980713268243424</v>
      </c>
      <c r="C8" s="31">
        <v>23.367025789075914</v>
      </c>
      <c r="D8" s="31">
        <v>22.75333830990839</v>
      </c>
      <c r="E8" s="31">
        <v>22.139650830740866</v>
      </c>
      <c r="F8" s="31">
        <v>21.525963351573342</v>
      </c>
    </row>
    <row r="9" spans="1:6" x14ac:dyDescent="0.25">
      <c r="A9" s="30">
        <v>0.090482</v>
      </c>
      <c r="B9" s="31">
        <v>18.435623283871575</v>
      </c>
      <c r="C9" s="31">
        <v>17.91895959284269</v>
      </c>
      <c r="D9" s="31">
        <v>17.40229590181379</v>
      </c>
      <c r="E9" s="31">
        <v>16.885632210784905</v>
      </c>
      <c r="F9" s="31">
        <v>16.368968519756006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10677000000</v>
      </c>
      <c r="C5" s="18">
        <v>10127000000</v>
      </c>
      <c r="D5" s="18">
        <v>9831000000</v>
      </c>
      <c r="E5" s="18">
        <v>9720000000</v>
      </c>
      <c r="F5" s="6" t="s">
        <v>91</v>
      </c>
    </row>
    <row r="6" spans="1:6" x14ac:dyDescent="0.25">
      <c r="A6" t="s">
        <v>51</v>
      </c>
      <c r="B6" s="18">
        <v>1759000000</v>
      </c>
      <c r="C6" s="18">
        <v>1761000000</v>
      </c>
      <c r="D6" s="18">
        <v>1560000000</v>
      </c>
      <c r="E6" s="18">
        <v>1279000000</v>
      </c>
      <c r="F6" s="6" t="s">
        <v>92</v>
      </c>
    </row>
    <row r="7" spans="1:6" x14ac:dyDescent="0.25">
      <c r="A7" t="s">
        <v>93</v>
      </c>
      <c r="B7" s="18">
        <v>1883000000</v>
      </c>
      <c r="C7" s="18">
        <v>1737000000</v>
      </c>
      <c r="D7" s="18">
        <v>1744000000</v>
      </c>
      <c r="E7" s="18">
        <v>1878000000</v>
      </c>
      <c r="F7" s="6" t="s">
        <v>94</v>
      </c>
    </row>
    <row r="8" spans="1:6" x14ac:dyDescent="0.25">
      <c r="A8" t="s">
        <v>95</v>
      </c>
      <c r="B8" s="18">
        <v>989000000</v>
      </c>
      <c r="C8" s="18">
        <v>817000000</v>
      </c>
      <c r="D8" s="18">
        <v>780000000</v>
      </c>
      <c r="E8" s="18">
        <v>996000000</v>
      </c>
      <c r="F8" s="6" t="s">
        <v>96</v>
      </c>
    </row>
    <row r="9" spans="1:6" x14ac:dyDescent="0.25">
      <c r="A9" t="s">
        <v>97</v>
      </c>
      <c r="B9" s="18">
        <v>510000000</v>
      </c>
      <c r="C9" s="18">
        <v>787000000</v>
      </c>
      <c r="D9" s="18">
        <v>115000000</v>
      </c>
      <c r="E9" s="18">
        <v>726000000</v>
      </c>
      <c r="F9" s="6" t="s">
        <v>98</v>
      </c>
    </row>
    <row r="10" spans="1:6" x14ac:dyDescent="0.25">
      <c r="A10" t="s">
        <v>99</v>
      </c>
      <c r="B10" s="18">
        <v>13331000000</v>
      </c>
      <c r="C10" s="18">
        <v>11541000000</v>
      </c>
      <c r="D10" s="18">
        <v>19341000000</v>
      </c>
      <c r="E10" s="18">
        <v>20409000000</v>
      </c>
      <c r="F10" s="6" t="s">
        <v>100</v>
      </c>
    </row>
    <row r="11" spans="1:6" x14ac:dyDescent="0.25">
      <c r="A11" t="s">
        <v>101</v>
      </c>
      <c r="B11" s="18">
        <v>599000000</v>
      </c>
      <c r="C11" s="18">
        <v>834000000</v>
      </c>
      <c r="D11" s="18">
        <v>440000000</v>
      </c>
      <c r="E11" s="18">
        <v>456000000</v>
      </c>
      <c r="F11" s="6" t="s">
        <v>102</v>
      </c>
    </row>
    <row r="12" spans="1:6" x14ac:dyDescent="0.25">
      <c r="A12" t="s">
        <v>34</v>
      </c>
      <c r="B12" s="34">
        <v>525000000</v>
      </c>
      <c r="C12" s="34">
        <v>555000000</v>
      </c>
      <c r="D12" s="34">
        <v>591000000</v>
      </c>
      <c r="E12" s="34">
        <v>604000000</v>
      </c>
      <c r="F12" s="6" t="s">
        <v>103</v>
      </c>
    </row>
    <row r="15" spans="1:1" x14ac:dyDescent="0.25">
      <c r="A15" s="19" t="s">
        <v>104</v>
      </c>
    </row>
    <row r="16" ht="70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