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<sst xmlns="http://schemas.openxmlformats.org/spreadsheetml/2006/main" count="112" uniqueCount="100">
  <si>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Fidelity National Information Services, Inc. (FIS)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</si>
  <si>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</si>
  <si>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</si>
  <si>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</si>
  <si>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</si>
  <si>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</si>
  <si>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</si>
  <si>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</si>
  <si>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</si>
  <si>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</si>
  <si>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</si>
  <si>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</si>
  <si>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</si>
  <si>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</si>
  <si>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</si>
  <si>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</si>
  <si>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</si>
  <si>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</si>
  <si>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</si>
  <si>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</si>
  <si>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</si>
  <si>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</si>
  <si>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</si>
  <si>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</si>
  <si>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</si>
  <si>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</si>
  <si>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</si>
  <si>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</si>
  <si>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</si>
  <si>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</si>
  <si>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</si>
  <si>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</si>
  <si>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</si>
  <si>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</si>
  <si>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</si>
  <si>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</si>
  <si>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</si>
  <si>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</si>
  <si>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</si>
  <si>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</si>
  <si>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</si>
  <si>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</si>
  <si>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</si>
  <si>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</si>
  <si>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</si>
  <si>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</si>
  <si>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</si>
  <si>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</si>
  <si>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</si>
  <si>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</si>
  <si>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</si>
  <si>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</si>
  <si>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</si>
  <si>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</si>
  <si>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</si>
  <si>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</si>
  <si>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</si>
  <si>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</si>
  <si>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</si>
  <si>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</si>
  <si>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</si>
  <si>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</si>
  <si>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</si>
  <si>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</si>
  <si>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</si>
  <si>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</si>
  <si>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</si>
  <si>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</si>
  <si>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</si>
  <si>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</si>
  <si>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</si>
  <si>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</si>
  <si>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</si>
  <si>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</si>
  <si>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</si>
  <si>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</si>
  <si>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</si>
  <si>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</si>
  <si>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</si>
  <si>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</si>
  <si>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</si>
  <si>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</si>
  <si>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</si>
  <si>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</si>
  <si>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</si>
  <si>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</si>
  <si>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</si>
  <si>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</si>
  <si>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</si>
  <si>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</si>
  <si>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</si>
  <si>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</si>
  <si>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</si>
  <si>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</si>
  <si>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</si>
  <si>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</si>
  <si>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</si>
  <si>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</si>
  <si>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8.88% of revenue against depreciation and amortisation of 17.96%. A business cannot depreciate more than it invests indefinitely. Capex has been set to 17.96%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</si>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</sst>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0.031797154725512033</v>
      </c>
    </row>
    <row r="7" spans="1:2" x14ac:dyDescent="0.25">
      <c r="A7" t="s">
        <v>5</v>
      </c>
      <c r="B7" s="6">
        <v>0.15722607796997773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0.17962249469654604</v>
      </c>
    </row>
    <row r="10" spans="1:2" x14ac:dyDescent="0.25">
      <c r="A10" t="s">
        <v>8</v>
      </c>
      <c r="B10" s="6">
        <v>0.17962249469654604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8.53966058209775</v>
      </c>
    </row>
    <row r="14" spans="1:3" x14ac:dyDescent="0.25">
      <c r="A14" t="s">
        <v>12</v>
      </c>
      <c r="B14" s="6">
        <v>0.07318768813263102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0.86667</v>
      </c>
      <c r="C19" s="8" t="s">
        <v>19</v>
      </c>
    </row>
    <row r="20" spans="1:2" x14ac:dyDescent="0.25">
      <c r="A20" t="s">
        <v>20</v>
      </c>
      <c r="B20" s="10">
        <f>B17+B19*B18</f>
        <v>0.09764685000000001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18369443840</v>
      </c>
    </row>
    <row r="23" spans="1:2" x14ac:dyDescent="0.25">
      <c r="A23" t="s">
        <v>24</v>
      </c>
      <c r="B23" s="11">
        <v>13331000000</v>
      </c>
    </row>
    <row r="24" spans="1:2" x14ac:dyDescent="0.25">
      <c r="A24" t="s">
        <v>25</v>
      </c>
      <c r="B24" s="10">
        <f>B22/(B22+B23)</f>
        <v>0.5794696103535691</v>
      </c>
    </row>
    <row r="25" spans="1:2" x14ac:dyDescent="0.25">
      <c r="A25" t="s">
        <v>26</v>
      </c>
      <c r="B25" s="10">
        <f>1-B24</f>
        <v>0.42053038964643086</v>
      </c>
    </row>
    <row r="26" spans="1:2" x14ac:dyDescent="0.25">
      <c r="A26" t="s">
        <v>27</v>
      </c>
      <c r="B26" s="12">
        <f>B24*B20+B25*B21*(1-B8)</f>
        <v>0.07318768813263102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10677000000</v>
      </c>
      <c r="C29" s="8" t="s">
        <v>30</v>
      </c>
    </row>
    <row r="30" spans="1:2" x14ac:dyDescent="0.25">
      <c r="A30" t="s">
        <v>31</v>
      </c>
      <c r="B30" s="11">
        <v>12732000000</v>
      </c>
    </row>
    <row r="31" spans="1:2" x14ac:dyDescent="0.25">
      <c r="A31" t="s">
        <v>32</v>
      </c>
      <c r="B31" s="13">
        <v>525000000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0.031797154725512033</v>
      </c>
      <c r="C5" s="10">
        <f>Assumptions!B6</f>
        <v>0.031797154725512033</v>
      </c>
      <c r="D5" s="10">
        <f>Assumptions!B6</f>
        <v>0.031797154725512033</v>
      </c>
      <c r="E5" s="10">
        <f>Assumptions!B6</f>
        <v>0.031797154725512033</v>
      </c>
      <c r="F5" s="10">
        <f>Assumptions!B6</f>
        <v>0.031797154725512033</v>
      </c>
    </row>
    <row r="6" spans="1:6" x14ac:dyDescent="0.25">
      <c r="A6" t="s">
        <v>43</v>
      </c>
      <c r="B6" s="18">
        <f>Assumptions!B29*(1+B5)</f>
        <v>11016498221.004292</v>
      </c>
      <c r="C6" s="18">
        <f>B6*(1+C5)</f>
        <v>11366791519.470894</v>
      </c>
      <c r="D6" s="18">
        <f>C6*(1+D5)</f>
        <v>11728223148.148148</v>
      </c>
      <c r="E6" s="18">
        <f>D6*(1+E5)</f>
        <v>12101147274.245146</v>
      </c>
      <c r="F6" s="18">
        <f>E6*(1+F5)</f>
        <v>12485929326.480526</v>
      </c>
    </row>
    <row r="7" spans="1:6" x14ac:dyDescent="0.25">
      <c r="A7" t="s">
        <v>5</v>
      </c>
      <c r="B7" s="10">
        <f>Assumptions!B7</f>
        <v>0.15722607796997773</v>
      </c>
      <c r="C7" s="10">
        <f>Assumptions!B7</f>
        <v>0.15722607796997773</v>
      </c>
      <c r="D7" s="10">
        <f>Assumptions!B7</f>
        <v>0.15722607796997773</v>
      </c>
      <c r="E7" s="10">
        <f>Assumptions!B7</f>
        <v>0.15722607796997773</v>
      </c>
      <c r="F7" s="10">
        <f>Assumptions!B7</f>
        <v>0.15722607796997773</v>
      </c>
    </row>
    <row r="8" spans="1:6" x14ac:dyDescent="0.25">
      <c r="A8" t="s">
        <v>44</v>
      </c>
      <c r="B8" s="18">
        <f>B6*B7</f>
        <v>1732080808.2517416</v>
      </c>
      <c r="C8" s="18">
        <f>C6*C7</f>
        <v>1787156049.7088125</v>
      </c>
      <c r="D8" s="18">
        <f>D6*D7</f>
        <v>1843982527.1400383</v>
      </c>
      <c r="E8" s="18">
        <f>E6*E7</f>
        <v>1902615924.8666508</v>
      </c>
      <c r="F8" s="18">
        <f>F6*F7</f>
        <v>1963113697.8128586</v>
      </c>
    </row>
    <row r="9" spans="1:6" x14ac:dyDescent="0.25">
      <c r="A9" t="s">
        <v>45</v>
      </c>
      <c r="B9" s="18">
        <f>B8*(1-Assumptions!B8)</f>
        <v>1368343838.518876</v>
      </c>
      <c r="C9" s="18">
        <f>C8*(1-Assumptions!B8)</f>
        <v>1411853279.2699618</v>
      </c>
      <c r="D9" s="18">
        <f>D8*(1-Assumptions!B8)</f>
        <v>1456746196.4406302</v>
      </c>
      <c r="E9" s="18">
        <f>E8*(1-Assumptions!B8)</f>
        <v>1503066580.6446543</v>
      </c>
      <c r="F9" s="18">
        <f>F8*(1-Assumptions!B8)</f>
        <v>1550859821.2721584</v>
      </c>
    </row>
    <row r="10" spans="1:6" x14ac:dyDescent="0.25">
      <c r="A10" t="s">
        <v>46</v>
      </c>
      <c r="B10" s="18">
        <f>B6*Assumptions!B9</f>
        <v>1978810893.2768521</v>
      </c>
      <c r="C10" s="18">
        <f>C6*Assumptions!B9</f>
        <v>2041731449.4229052</v>
      </c>
      <c r="D10" s="18">
        <f>D6*Assumptions!B9</f>
        <v>2106652700.2281492</v>
      </c>
      <c r="E10" s="18">
        <f>E6*Assumptions!B9</f>
        <v>2173638262.0902214</v>
      </c>
      <c r="F10" s="18">
        <f>F6*Assumptions!B9</f>
        <v>2242753774.2271967</v>
      </c>
    </row>
    <row r="11" spans="1:6" x14ac:dyDescent="0.25">
      <c r="A11" t="s">
        <v>47</v>
      </c>
      <c r="B11" s="18">
        <f>-B6*Assumptions!B10</f>
        <v>-1978810893.2768521</v>
      </c>
      <c r="C11" s="18">
        <f>-C6*Assumptions!B10</f>
        <v>-2041731449.4229052</v>
      </c>
      <c r="D11" s="18">
        <f>-D6*Assumptions!B10</f>
        <v>-2106652700.2281492</v>
      </c>
      <c r="E11" s="18">
        <f>-E6*Assumptions!B10</f>
        <v>-2173638262.0902214</v>
      </c>
      <c r="F11" s="18">
        <f>-F6*Assumptions!B10</f>
        <v>-2242753774.2271967</v>
      </c>
    </row>
    <row r="12" spans="1:6" x14ac:dyDescent="0.25">
      <c r="A12" t="s">
        <v>48</v>
      </c>
      <c r="B12" s="18">
        <f>-(B6-Assumptions!B29)*Assumptions!B11</f>
        <v>-339498221.00429153</v>
      </c>
      <c r="C12" s="18">
        <f>-(C6-B6)*Assumptions!B11</f>
        <v>-350293298.4666023</v>
      </c>
      <c r="D12" s="18">
        <f>-(D6-C6)*Assumptions!B11</f>
        <v>-361431628.6772537</v>
      </c>
      <c r="E12" s="18">
        <f>-(E6-D6)*Assumptions!B11</f>
        <v>-372924126.0969982</v>
      </c>
      <c r="F12" s="18">
        <f>-(F6-E6)*Assumptions!B11</f>
        <v>-384782052.2353802</v>
      </c>
    </row>
    <row r="13" spans="1:6" x14ac:dyDescent="0.25">
      <c r="A13" s="19" t="s">
        <v>49</v>
      </c>
      <c r="B13" s="20">
        <f>B9+B10+B11+B12</f>
        <v>1028845617.5145845</v>
      </c>
      <c r="C13" s="20">
        <f>C9+C10+C11+C12</f>
        <v>1061559980.8033597</v>
      </c>
      <c r="D13" s="20">
        <f>D9+D10+D11+D12</f>
        <v>1095314567.7633765</v>
      </c>
      <c r="E13" s="20">
        <f>E9+E10+E11+E12</f>
        <v>1130142454.547656</v>
      </c>
      <c r="F13" s="20">
        <f>F9+F10+F11+F12</f>
        <v>1166077769.0367785</v>
      </c>
    </row>
    <row r="14" spans="1:6" x14ac:dyDescent="0.25">
      <c r="A14" t="s">
        <v>50</v>
      </c>
      <c r="B14" s="21">
        <f>1/(1+Assumptions!$B$26)^(1-0.5*Assumptions!$B$32)</f>
        <v>0.9652996731787234</v>
      </c>
      <c r="C14" s="21">
        <f>1/(1+Assumptions!$B$26)^(2-0.5*Assumptions!$B$32)</f>
        <v>0.8994695744771031</v>
      </c>
      <c r="D14" s="21">
        <f>1/(1+Assumptions!$B$26)^(3-0.5*Assumptions!$B$32)</f>
        <v>0.8381288607980576</v>
      </c>
      <c r="E14" s="21">
        <f>1/(1+Assumptions!$B$26)^(4-0.5*Assumptions!$B$32)</f>
        <v>0.780971371612005</v>
      </c>
      <c r="F14" s="21">
        <f>1/(1+Assumptions!$B$26)^(5-0.5*Assumptions!$B$32)</f>
        <v>0.7277118254784599</v>
      </c>
    </row>
    <row r="15" spans="1:6" x14ac:dyDescent="0.25">
      <c r="A15" s="19" t="s">
        <v>51</v>
      </c>
      <c r="B15" s="20">
        <f>B13*B14</f>
        <v>993144338.3381903</v>
      </c>
      <c r="C15" s="20">
        <f>C13*C14</f>
        <v>954840904.2151197</v>
      </c>
      <c r="D15" s="20">
        <f>D13*D14</f>
        <v>918014750.8950356</v>
      </c>
      <c r="E15" s="20">
        <f>E13*E14</f>
        <v>882608902.845041</v>
      </c>
      <c r="F15" s="20">
        <f>F13*F14</f>
        <v>848568581.955604</v>
      </c>
    </row>
    <row r="17" spans="1:2" x14ac:dyDescent="0.25">
      <c r="A17" s="22" t="s">
        <v>52</v>
      </c>
      <c r="B17" s="23">
        <f>SUM(B15:F15)</f>
        <v>4597177478.24899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1166077769.0367785</v>
      </c>
    </row>
    <row r="5" spans="1:2" x14ac:dyDescent="0.25">
      <c r="A5" t="s">
        <v>56</v>
      </c>
      <c r="B5" s="18">
        <f>IF(Assumptions!$B$33=0,B4,B4-Forecast!F11-Forecast!F10-Forecast!F12)</f>
        <v>1550859821.2721584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0.34158750792476056</v>
      </c>
    </row>
    <row r="7" spans="1:2" x14ac:dyDescent="0.25">
      <c r="A7" t="s">
        <v>58</v>
      </c>
      <c r="B7" s="18">
        <f>-MAX(Forecast!F9,0)*B6</f>
        <v>-529754341.48899615</v>
      </c>
    </row>
    <row r="8" spans="1:2" x14ac:dyDescent="0.25">
      <c r="A8" t="s">
        <v>59</v>
      </c>
      <c r="B8" s="18">
        <f>IF(OR(Assumptions!$B$33=0,Assumptions!B12&lt;=0),B5,MAX(B5+B7,0))</f>
        <v>1021105479.7831622</v>
      </c>
    </row>
    <row r="9" spans="1:2" x14ac:dyDescent="0.25">
      <c r="A9" t="s">
        <v>60</v>
      </c>
      <c r="B9" s="18">
        <f>B8*(1+Assumptions!B12)/(Assumptions!B26-Assumptions!B12)</f>
        <v>21719928001.048836</v>
      </c>
    </row>
    <row r="10" spans="1:2" x14ac:dyDescent="0.25">
      <c r="A10" t="s">
        <v>61</v>
      </c>
      <c r="B10" s="18">
        <f>B9/(1+Assumptions!B26)^(5-0.5*Assumptions!B32)</f>
        <v>15805848454.903965</v>
      </c>
    </row>
    <row r="11" spans="1:2" x14ac:dyDescent="0.25">
      <c r="A11" t="s">
        <v>62</v>
      </c>
      <c r="B11" s="18">
        <f>Forecast!B17+B10</f>
        <v>20403025933.152954</v>
      </c>
    </row>
    <row r="12" spans="1:2" x14ac:dyDescent="0.25">
      <c r="A12" t="s">
        <v>63</v>
      </c>
      <c r="B12" s="18">
        <f>-Assumptions!B30</f>
        <v>-12732000000</v>
      </c>
    </row>
    <row r="13" spans="1:2" x14ac:dyDescent="0.25">
      <c r="A13" t="s">
        <v>64</v>
      </c>
      <c r="B13" s="18">
        <f>B11+B12</f>
        <v>7671025933.152954</v>
      </c>
    </row>
    <row r="14" spans="1:2" x14ac:dyDescent="0.25">
      <c r="A14" s="19" t="s">
        <v>65</v>
      </c>
      <c r="B14" s="24">
        <f>B13/Assumptions!B31</f>
        <v>14.611477967910389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4205867472.0400553</v>
      </c>
    </row>
    <row r="18" spans="1:2" x14ac:dyDescent="0.25">
      <c r="A18" t="s">
        <v>60</v>
      </c>
      <c r="B18" s="18">
        <f>B17*Assumptions!B13</f>
        <v>35916680664.50757</v>
      </c>
    </row>
    <row r="19" spans="1:2" x14ac:dyDescent="0.25">
      <c r="A19" t="s">
        <v>61</v>
      </c>
      <c r="B19" s="18">
        <f>B18/(1+Assumptions!B26)^(5-0.5*Assumptions!B32)</f>
        <v>26136993251.49571</v>
      </c>
    </row>
    <row r="20" spans="1:2" x14ac:dyDescent="0.25">
      <c r="A20" t="s">
        <v>62</v>
      </c>
      <c r="B20" s="18">
        <f>Forecast!B17+B19</f>
        <v>30734170729.744698</v>
      </c>
    </row>
    <row r="21" spans="1:2" x14ac:dyDescent="0.25">
      <c r="A21" t="s">
        <v>63</v>
      </c>
      <c r="B21" s="18">
        <f>-Assumptions!B30</f>
        <v>-12732000000</v>
      </c>
    </row>
    <row r="22" spans="1:2" x14ac:dyDescent="0.25">
      <c r="A22" t="s">
        <v>64</v>
      </c>
      <c r="B22" s="18">
        <f>B20+B21</f>
        <v>18002170729.744698</v>
      </c>
    </row>
    <row r="23" spans="1:2" x14ac:dyDescent="0.25">
      <c r="A23" s="19" t="s">
        <v>65</v>
      </c>
      <c r="B23" s="25">
        <f>B22/Assumptions!B31</f>
        <v>34.28984900903752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14.611477967910389</v>
      </c>
    </row>
    <row r="29" spans="1:2" x14ac:dyDescent="0.25">
      <c r="A29" s="19" t="s">
        <v>73</v>
      </c>
      <c r="B29" s="12">
        <f>B28/B26-1</f>
        <v>-0.589795677487075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0.053188</v>
      </c>
      <c r="B5" s="31">
        <v>29.563093865910158</v>
      </c>
      <c r="C5" s="31">
        <v>29.783028196630525</v>
      </c>
      <c r="D5" s="31">
        <v>30.002962527350864</v>
      </c>
      <c r="E5" s="31">
        <v>30.222896858071216</v>
      </c>
      <c r="F5" s="31">
        <v>30.442831188791555</v>
      </c>
    </row>
    <row r="6" spans="1:6" x14ac:dyDescent="0.25">
      <c r="A6" s="30">
        <v>0.063188</v>
      </c>
      <c r="B6" s="31">
        <v>20.722963745155248</v>
      </c>
      <c r="C6" s="31">
        <v>20.90038405706274</v>
      </c>
      <c r="D6" s="31">
        <v>21.077804368970234</v>
      </c>
      <c r="E6" s="31">
        <v>21.255224680877745</v>
      </c>
      <c r="F6" s="31">
        <v>21.43264499278524</v>
      </c>
    </row>
    <row r="7" spans="1:6" x14ac:dyDescent="0.25">
      <c r="A7" s="30">
        <v>0.073188</v>
      </c>
      <c r="B7" s="31">
        <v>14.317585022439532</v>
      </c>
      <c r="C7" s="31">
        <v>14.464444585126387</v>
      </c>
      <c r="D7" s="32">
        <v>14.611304147813227</v>
      </c>
      <c r="E7" s="31">
        <v>14.758163710500082</v>
      </c>
      <c r="F7" s="31">
        <v>14.905023273186929</v>
      </c>
    </row>
    <row r="8" spans="1:6" x14ac:dyDescent="0.25">
      <c r="A8" s="30">
        <v>0.083188</v>
      </c>
      <c r="B8" s="31">
        <v>9.467929311574155</v>
      </c>
      <c r="C8" s="31">
        <v>9.591853271358156</v>
      </c>
      <c r="D8" s="31">
        <v>9.71577723114215</v>
      </c>
      <c r="E8" s="31">
        <v>9.839701190926151</v>
      </c>
      <c r="F8" s="31">
        <v>9.963625150710143</v>
      </c>
    </row>
    <row r="9" spans="1:6" x14ac:dyDescent="0.25">
      <c r="A9" s="30">
        <v>0.093188</v>
      </c>
      <c r="B9" s="31">
        <v>5.672341047306613</v>
      </c>
      <c r="C9" s="31">
        <v>5.7784852804257785</v>
      </c>
      <c r="D9" s="31">
        <v>5.884629513544937</v>
      </c>
      <c r="E9" s="31">
        <v>5.990773746664109</v>
      </c>
      <c r="F9" s="31">
        <v>6.096917979783274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10677000000</v>
      </c>
      <c r="C5" s="18">
        <v>10127000000</v>
      </c>
      <c r="D5" s="18">
        <v>9831000000</v>
      </c>
      <c r="E5" s="18">
        <v>9720000000</v>
      </c>
      <c r="F5" s="8" t="s">
        <v>84</v>
      </c>
    </row>
    <row r="6" spans="1:6" x14ac:dyDescent="0.25">
      <c r="A6" t="s">
        <v>44</v>
      </c>
      <c r="B6" s="18">
        <v>1759000000</v>
      </c>
      <c r="C6" s="18">
        <v>1761000000</v>
      </c>
      <c r="D6" s="18">
        <v>1560000000</v>
      </c>
      <c r="E6" s="18">
        <v>1279000000</v>
      </c>
      <c r="F6" s="8" t="s">
        <v>85</v>
      </c>
    </row>
    <row r="7" spans="1:6" x14ac:dyDescent="0.25">
      <c r="A7" t="s">
        <v>86</v>
      </c>
      <c r="B7" s="18">
        <v>1883000000</v>
      </c>
      <c r="C7" s="18">
        <v>1737000000</v>
      </c>
      <c r="D7" s="18">
        <v>1744000000</v>
      </c>
      <c r="E7" s="18">
        <v>1878000000</v>
      </c>
      <c r="F7" s="8" t="s">
        <v>87</v>
      </c>
    </row>
    <row r="8" spans="1:6" x14ac:dyDescent="0.25">
      <c r="A8" t="s">
        <v>88</v>
      </c>
      <c r="B8" s="18">
        <v>989000000</v>
      </c>
      <c r="C8" s="18">
        <v>817000000</v>
      </c>
      <c r="D8" s="18">
        <v>780000000</v>
      </c>
      <c r="E8" s="18">
        <v>996000000</v>
      </c>
      <c r="F8" s="8" t="s">
        <v>89</v>
      </c>
    </row>
    <row r="9" spans="1:6" x14ac:dyDescent="0.25">
      <c r="A9" t="s">
        <v>90</v>
      </c>
      <c r="B9" s="18">
        <v>510000000</v>
      </c>
      <c r="C9" s="18">
        <v>787000000</v>
      </c>
      <c r="D9" s="18">
        <v>115000000</v>
      </c>
      <c r="E9" s="18">
        <v>726000000</v>
      </c>
      <c r="F9" s="8" t="s">
        <v>91</v>
      </c>
    </row>
    <row r="10" spans="1:6" x14ac:dyDescent="0.25">
      <c r="A10" t="s">
        <v>92</v>
      </c>
      <c r="B10" s="18">
        <v>13331000000</v>
      </c>
      <c r="C10" s="18">
        <v>11541000000</v>
      </c>
      <c r="D10" s="18">
        <v>19341000000</v>
      </c>
      <c r="E10" s="18">
        <v>20409000000</v>
      </c>
      <c r="F10" s="8" t="s">
        <v>93</v>
      </c>
    </row>
    <row r="11" spans="1:6" x14ac:dyDescent="0.25">
      <c r="A11" t="s">
        <v>94</v>
      </c>
      <c r="B11" s="18">
        <v>599000000</v>
      </c>
      <c r="C11" s="18">
        <v>834000000</v>
      </c>
      <c r="D11" s="18">
        <v>440000000</v>
      </c>
      <c r="E11" s="18">
        <v>456000000</v>
      </c>
      <c r="F11" s="8" t="s">
        <v>95</v>
      </c>
    </row>
    <row r="12" spans="1:6" x14ac:dyDescent="0.25">
      <c r="A12" t="s">
        <v>32</v>
      </c>
      <c r="B12" s="34">
        <v>525000000</v>
      </c>
      <c r="C12" s="34">
        <v>555000000</v>
      </c>
      <c r="D12" s="34">
        <v>591000000</v>
      </c>
      <c r="E12" s="34">
        <v>604000000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