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<sst xmlns="http://schemas.openxmlformats.org/spreadsheetml/2006/main" count="119" uniqueCount="106">
  <si>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Fiserv, Inc. (FISV)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</si>
  <si>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</si>
  <si>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</si>
  <si>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</si>
  <si>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</si>
  <si>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</si>
  <si>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</si>
  <si>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</si>
  <si>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</si>
  <si>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</si>
  <si>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</si>
  <si>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</si>
  <si>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</si>
  <si>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</si>
  <si>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</si>
  <si>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</si>
  <si>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</si>
  <si>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</si>
  <si>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</si>
  <si>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</si>
  <si>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</si>
  <si>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</si>
  <si>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</si>
  <si>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</si>
  <si>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3.7x interest cover. Book interest / average debt was lower, at 5.7%.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</si>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</sst>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-0.07811976643231255</v>
      </c>
    </row>
    <row r="7" spans="1:2" x14ac:dyDescent="0.25">
      <c r="A7" t="s">
        <v>4</v>
      </c>
      <c r="B7" s="5">
        <v>0.254484136697855</v>
      </c>
    </row>
    <row r="8" spans="1:2" x14ac:dyDescent="0.25">
      <c r="A8" t="s">
        <v>5</v>
      </c>
      <c r="B8" s="5">
        <v>0.18967453751024876</v>
      </c>
    </row>
    <row r="9" spans="1:2" x14ac:dyDescent="0.25">
      <c r="A9" t="s">
        <v>6</v>
      </c>
      <c r="B9" s="5">
        <v>0.1606456221929052</v>
      </c>
    </row>
    <row r="10" spans="1:3" x14ac:dyDescent="0.25">
      <c r="A10" t="s">
        <v>7</v>
      </c>
      <c r="B10" s="5">
        <v>0.07899271791310826</v>
      </c>
      <c r="C10" s="6" t="s">
        <v>8</v>
      </c>
    </row>
    <row r="11" spans="1:2" x14ac:dyDescent="0.25">
      <c r="A11" t="s">
        <v>9</v>
      </c>
      <c r="B11" s="5">
        <v>0.16060463397558758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6.199793587538097</v>
      </c>
    </row>
    <row r="14" spans="1:3" x14ac:dyDescent="0.25">
      <c r="A14" t="s">
        <v>12</v>
      </c>
      <c r="B14" s="5">
        <v>0.08158448609446403</v>
      </c>
      <c r="C14" s="6" t="s">
        <v>13</v>
      </c>
    </row>
    <row r="15" spans="1:3" x14ac:dyDescent="0.25">
      <c r="A15" t="s">
        <v>14</v>
      </c>
      <c r="B15" s="5">
        <v>0.0803108321778283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</v>
      </c>
      <c r="C19" s="6" t="s">
        <v>21</v>
      </c>
    </row>
    <row r="20" spans="1:2" x14ac:dyDescent="0.25">
      <c r="A20" t="s">
        <v>22</v>
      </c>
      <c r="B20" s="9">
        <f>B17+B19*B18</f>
        <v>0.09124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26598971392</v>
      </c>
    </row>
    <row r="23" spans="1:2" x14ac:dyDescent="0.25">
      <c r="A23" t="s">
        <v>26</v>
      </c>
      <c r="B23" s="10">
        <v>29123000000</v>
      </c>
    </row>
    <row r="24" spans="1:2" x14ac:dyDescent="0.25">
      <c r="A24" t="s">
        <v>27</v>
      </c>
      <c r="B24" s="9">
        <f>B22/(B22+B23)</f>
        <v>0.4773515855151315</v>
      </c>
    </row>
    <row r="25" spans="1:2" x14ac:dyDescent="0.25">
      <c r="A25" t="s">
        <v>28</v>
      </c>
      <c r="B25" s="9">
        <f>1-B24</f>
        <v>0.5226484144848684</v>
      </c>
    </row>
    <row r="26" spans="1:2" x14ac:dyDescent="0.25">
      <c r="A26" t="s">
        <v>29</v>
      </c>
      <c r="B26" s="11">
        <f>B24*B20+B25*B21*(1-B8)</f>
        <v>0.06804968466633587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21193000000</v>
      </c>
      <c r="C29" s="6" t="s">
        <v>32</v>
      </c>
    </row>
    <row r="30" spans="1:2" x14ac:dyDescent="0.25">
      <c r="A30" t="s">
        <v>33</v>
      </c>
      <c r="B30" s="10">
        <v>28325000000</v>
      </c>
    </row>
    <row r="31" spans="1:2" x14ac:dyDescent="0.25">
      <c r="A31" t="s">
        <v>34</v>
      </c>
      <c r="B31" s="12">
        <v>549000000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-0.07811976643231255</v>
      </c>
      <c r="C5" s="5">
        <v>0.035168436743777454</v>
      </c>
      <c r="D5" s="5">
        <v>0.033897382150805275</v>
      </c>
      <c r="E5" s="5">
        <v>0.03262632755783309</v>
      </c>
      <c r="F5" s="5">
        <v>0.03135527296486091</v>
      </c>
      <c r="G5" s="5">
        <v>0.030084218371888728</v>
      </c>
      <c r="H5" s="5">
        <v>0.028813163778916545</v>
      </c>
      <c r="I5" s="5">
        <v>0.027542109185944366</v>
      </c>
      <c r="J5" s="5">
        <v>0.026271054592972184</v>
      </c>
      <c r="K5" s="5">
        <v>0.025</v>
      </c>
    </row>
    <row r="6" spans="1:11" x14ac:dyDescent="0.25">
      <c r="A6" t="s">
        <v>50</v>
      </c>
      <c r="B6" s="18">
        <f>Assumptions!B29*(1+B5)</f>
        <v>19537407790</v>
      </c>
      <c r="C6" s="18">
        <f>B6*(1+C5)</f>
        <v>20224507880</v>
      </c>
      <c r="D6" s="18">
        <f>C6*(1+D5)</f>
        <v>20910065752.420334</v>
      </c>
      <c r="E6" s="18">
        <f>D6*(1+E5)</f>
        <v>21592284406.914627</v>
      </c>
      <c r="F6" s="18">
        <f>E6*(1+F5)</f>
        <v>22269316378.428345</v>
      </c>
      <c r="G6" s="18">
        <f>F6*(1+G5)</f>
        <v>22939271355.349663</v>
      </c>
      <c r="H6" s="18">
        <f>G6*(1+H5)</f>
        <v>23600224337.880363</v>
      </c>
      <c r="I6" s="18">
        <f>H6*(1+I5)</f>
        <v>24250224293.407047</v>
      </c>
      <c r="J6" s="18">
        <f>I6*(1+J5)</f>
        <v>24887303259.71096</v>
      </c>
      <c r="K6" s="18">
        <f>J6*(1+K5)</f>
        <v>25509485841.20373</v>
      </c>
    </row>
    <row r="7" spans="1:11" x14ac:dyDescent="0.25">
      <c r="A7" t="s">
        <v>4</v>
      </c>
      <c r="B7" s="9">
        <f>Assumptions!B7</f>
        <v>0.254484136697855</v>
      </c>
      <c r="C7" s="9">
        <f>Assumptions!B7</f>
        <v>0.254484136697855</v>
      </c>
      <c r="D7" s="9">
        <f>Assumptions!B7</f>
        <v>0.254484136697855</v>
      </c>
      <c r="E7" s="9">
        <f>Assumptions!B7</f>
        <v>0.254484136697855</v>
      </c>
      <c r="F7" s="9">
        <f>Assumptions!B7</f>
        <v>0.254484136697855</v>
      </c>
      <c r="G7" s="9">
        <f>Assumptions!B7</f>
        <v>0.254484136697855</v>
      </c>
      <c r="H7" s="9">
        <f>Assumptions!B7</f>
        <v>0.254484136697855</v>
      </c>
      <c r="I7" s="9">
        <f>Assumptions!B7</f>
        <v>0.254484136697855</v>
      </c>
      <c r="J7" s="9">
        <f>Assumptions!B7</f>
        <v>0.254484136697855</v>
      </c>
      <c r="K7" s="9">
        <f>Assumptions!B7</f>
        <v>0.254484136697855</v>
      </c>
    </row>
    <row r="8" spans="1:11" x14ac:dyDescent="0.25">
      <c r="A8" t="s">
        <v>51</v>
      </c>
      <c r="B8" s="18">
        <f>B6*B7</f>
        <v>4971960354.752098</v>
      </c>
      <c r="C8" s="18">
        <f>C6*C7</f>
        <v>5146816427.980766</v>
      </c>
      <c r="D8" s="18">
        <f>D6*D7</f>
        <v>5321280031.300073</v>
      </c>
      <c r="E8" s="18">
        <f>E6*E7</f>
        <v>5494893856.628225</v>
      </c>
      <c r="F8" s="18">
        <f>F6*F7</f>
        <v>5667187753.415741</v>
      </c>
      <c r="G8" s="18">
        <f>G6*G7</f>
        <v>5837680667.343993</v>
      </c>
      <c r="H8" s="18">
        <f>H6*H7</f>
        <v>6005882716.501191</v>
      </c>
      <c r="I8" s="18">
        <f>I6*I7</f>
        <v>6171297394.037044</v>
      </c>
      <c r="J8" s="18">
        <f>J6*J7</f>
        <v>6333423884.785257</v>
      </c>
      <c r="K8" s="18">
        <f>K6*K7</f>
        <v>6491759481.904887</v>
      </c>
    </row>
    <row r="9" spans="1:11" x14ac:dyDescent="0.25">
      <c r="A9" t="s">
        <v>52</v>
      </c>
      <c r="B9" s="18">
        <f>B8*(1-Assumptions!B8)</f>
        <v>4028906073.9452014</v>
      </c>
      <c r="C9" s="18">
        <f>C8*(1-Assumptions!B8)</f>
        <v>4170596402.353364</v>
      </c>
      <c r="D9" s="18">
        <f>D8*(1-Assumptions!B8)</f>
        <v>4311968702.400709</v>
      </c>
      <c r="E9" s="18">
        <f>E8*(1-Assumptions!B8)</f>
        <v>4452652405.704359</v>
      </c>
      <c r="F9" s="18">
        <f>F8*(1-Assumptions!B8)</f>
        <v>4592266537.302865</v>
      </c>
      <c r="G9" s="18">
        <f>G8*(1-Assumptions!B8)</f>
        <v>4730421286.633001</v>
      </c>
      <c r="H9" s="18">
        <f>H8*(1-Assumptions!B8)</f>
        <v>4866719689.908031</v>
      </c>
      <c r="I9" s="18">
        <f>I8*(1-Assumptions!B8)</f>
        <v>5000759414.984864</v>
      </c>
      <c r="J9" s="18">
        <f>J8*(1-Assumptions!B8)</f>
        <v>5132134638.582251</v>
      </c>
      <c r="K9" s="18">
        <f>K8*(1-Assumptions!B8)</f>
        <v>5260438004.546805</v>
      </c>
    </row>
    <row r="10" spans="1:11" x14ac:dyDescent="0.25">
      <c r="A10" t="s">
        <v>53</v>
      </c>
      <c r="B10" s="18">
        <f>B6*Assumptions!B9</f>
        <v>3138599030.461063</v>
      </c>
      <c r="C10" s="18">
        <f>C6*Assumptions!B9</f>
        <v>3248978651.927914</v>
      </c>
      <c r="D10" s="18">
        <f>D6*Assumptions!B9</f>
        <v>3359110522.892123</v>
      </c>
      <c r="E10" s="18">
        <f>E6*Assumptions!B9</f>
        <v>3468705963.1149654</v>
      </c>
      <c r="F10" s="18">
        <f>F6*Assumptions!B9</f>
        <v>3577468185.423276</v>
      </c>
      <c r="G10" s="18">
        <f>G6*Assumptions!B9</f>
        <v>3685093519.5320344</v>
      </c>
      <c r="H10" s="18">
        <f>H6*Assumptions!B9</f>
        <v>3791272722.650935</v>
      </c>
      <c r="I10" s="18">
        <f>I6*Assumptions!B9</f>
        <v>3895692369.93188</v>
      </c>
      <c r="J10" s="18">
        <f>J6*Assumptions!B9</f>
        <v>3998036316.859785</v>
      </c>
      <c r="K10" s="18">
        <f>K6*Assumptions!B9</f>
        <v>4097987224.7812796</v>
      </c>
    </row>
    <row r="11" spans="1:11" x14ac:dyDescent="0.25">
      <c r="A11" t="s">
        <v>54</v>
      </c>
      <c r="B11" s="18">
        <f>-B6*B19</f>
        <v>-1543312942.3088338</v>
      </c>
      <c r="C11" s="18">
        <f>-C6*C19</f>
        <v>-1787376890.965203</v>
      </c>
      <c r="D11" s="18">
        <f>-D6*D19</f>
        <v>-2044185651.446052</v>
      </c>
      <c r="E11" s="18">
        <f>-E6*E19</f>
        <v>-2313503267.5212235</v>
      </c>
      <c r="F11" s="18">
        <f>-F6*F19</f>
        <v>-2595020449.7062817</v>
      </c>
      <c r="G11" s="18">
        <f>-G6*G19</f>
        <v>-2888353166.667108</v>
      </c>
      <c r="H11" s="18">
        <f>-H6*H19</f>
        <v>-3193041738.6499166</v>
      </c>
      <c r="I11" s="18">
        <f>-I6*I19</f>
        <v>-3508550462.1698203</v>
      </c>
      <c r="J11" s="18">
        <f>-J6*J19</f>
        <v>-3834267791.0310173</v>
      </c>
      <c r="K11" s="18">
        <f>-K6*K19</f>
        <v>-4169507094.137312</v>
      </c>
    </row>
    <row r="12" spans="1:11" x14ac:dyDescent="0.25">
      <c r="A12" t="s">
        <v>55</v>
      </c>
      <c r="B12" s="18">
        <f>-(B6-Assumptions!B29)*Assumptions!B11</f>
        <v>265895780.89988413</v>
      </c>
      <c r="C12" s="18">
        <f>-(C6-B6)*Assumptions!B11</f>
        <v>-110351458.45904328</v>
      </c>
      <c r="D12" s="18">
        <f>-(D6-C6)*Assumptions!B11</f>
        <v>-110103771.1691503</v>
      </c>
      <c r="E12" s="18">
        <f>-(E6-D6)*Assumptions!B11</f>
        <v>-109567477.29637381</v>
      </c>
      <c r="F12" s="18">
        <f>-(F6-E6)*Assumptions!B11</f>
        <v>-108734471.97473106</v>
      </c>
      <c r="G12" s="18">
        <f>-(G6-F6)*Assumptions!B11</f>
        <v>-107597873.84857151</v>
      </c>
      <c r="H12" s="18">
        <f>-(H6-G6)*Assumptions!B11</f>
        <v>-106152111.83441612</v>
      </c>
      <c r="I12" s="18">
        <f>-(I6-H6)*Assumptions!B11</f>
        <v>-104393004.94151126</v>
      </c>
      <c r="J12" s="18">
        <f>-(J6-I6)*Assumptions!B11</f>
        <v>-102317834.19678566</v>
      </c>
      <c r="K12" s="18">
        <f>-(K6-J6)*Assumptions!B11</f>
        <v>-99925405.7666327</v>
      </c>
    </row>
    <row r="13" spans="1:11" x14ac:dyDescent="0.25">
      <c r="A13" s="19" t="s">
        <v>56</v>
      </c>
      <c r="B13" s="20">
        <f>B9+B10+B11+B12</f>
        <v>5890087942.997314</v>
      </c>
      <c r="C13" s="20">
        <f>C9+C10+C11+C12</f>
        <v>5521846704.857032</v>
      </c>
      <c r="D13" s="20">
        <f>D9+D10+D11+D12</f>
        <v>5516789802.67763</v>
      </c>
      <c r="E13" s="20">
        <f>E9+E10+E11+E12</f>
        <v>5498287624.001728</v>
      </c>
      <c r="F13" s="20">
        <f>F9+F10+F11+F12</f>
        <v>5465979801.045128</v>
      </c>
      <c r="G13" s="20">
        <f>G9+G10+G11+G12</f>
        <v>5419563765.649355</v>
      </c>
      <c r="H13" s="20">
        <f>H9+H10+H11+H12</f>
        <v>5358798562.074635</v>
      </c>
      <c r="I13" s="20">
        <f>I9+I10+I11+I12</f>
        <v>5283508317.805412</v>
      </c>
      <c r="J13" s="20">
        <f>J9+J10+J11+J12</f>
        <v>5193585330.214232</v>
      </c>
      <c r="K13" s="20">
        <f>K9+K10+K11+K12</f>
        <v>5088992729.42414</v>
      </c>
    </row>
    <row r="14" spans="1:11" x14ac:dyDescent="0.25">
      <c r="A14" t="s">
        <v>57</v>
      </c>
      <c r="B14" s="21">
        <f>1/(1+Assumptions!$B$26)^(1-0.5*Assumptions!$B$32)</f>
        <v>0.967618742503264</v>
      </c>
      <c r="C14" s="21">
        <f>1/(1+Assumptions!$B$26)^(2-0.5*Assumptions!$B$32)</f>
        <v>0.9059679117882545</v>
      </c>
      <c r="D14" s="21">
        <f>1/(1+Assumptions!$B$26)^(3-0.5*Assumptions!$B$32)</f>
        <v>0.8482451001998876</v>
      </c>
      <c r="E14" s="21">
        <f>1/(1+Assumptions!$B$26)^(4-0.5*Assumptions!$B$32)</f>
        <v>0.7942000380486829</v>
      </c>
      <c r="F14" s="21">
        <f>1/(1+Assumptions!$B$26)^(5-0.5*Assumptions!$B$32)</f>
        <v>0.7435984013204358</v>
      </c>
      <c r="G14" s="21">
        <f>1/(1+Assumptions!$B$26)^(6-0.5*Assumptions!$B$32)</f>
        <v>0.6962207957139556</v>
      </c>
      <c r="H14" s="21">
        <f>1/(1+Assumptions!$B$26)^(7-0.5*Assumptions!$B$32)</f>
        <v>0.6518618054097909</v>
      </c>
      <c r="I14" s="21">
        <f>1/(1+Assumptions!$B$26)^(8-0.5*Assumptions!$B$32)</f>
        <v>0.610329102445675</v>
      </c>
      <c r="J14" s="21">
        <f>1/(1+Assumptions!$B$26)^(9-0.5*Assumptions!$B$32)</f>
        <v>0.5714426128371967</v>
      </c>
      <c r="K14" s="21">
        <f>1/(1+Assumptions!$B$26)^(10-0.5*Assumptions!$B$32)</f>
        <v>0.5350337358282337</v>
      </c>
    </row>
    <row r="15" spans="1:11" x14ac:dyDescent="0.25">
      <c r="A15" s="19" t="s">
        <v>58</v>
      </c>
      <c r="B15" s="20">
        <f>B13*B14</f>
        <v>5699359488.636698</v>
      </c>
      <c r="C15" s="20">
        <f>C13*C14</f>
        <v>5002615928.41418</v>
      </c>
      <c r="D15" s="20">
        <f>D13*D14</f>
        <v>4679589918.954005</v>
      </c>
      <c r="E15" s="20">
        <f>E13*E14</f>
        <v>4366740240.184774</v>
      </c>
      <c r="F15" s="20">
        <f>F13*F14</f>
        <v>4064493841.7069507</v>
      </c>
      <c r="G15" s="20">
        <f>G13*G14</f>
        <v>3773212997.342915</v>
      </c>
      <c r="H15" s="20">
        <f>H13*H14</f>
        <v>3493196105.501363</v>
      </c>
      <c r="I15" s="20">
        <f>I13*I14</f>
        <v>3224678889.370435</v>
      </c>
      <c r="J15" s="20">
        <f>J13*J14</f>
        <v>2967835971.0905557</v>
      </c>
      <c r="K15" s="20">
        <f>K13*K14</f>
        <v>2722782791.6265173</v>
      </c>
    </row>
    <row r="17" spans="1:2" x14ac:dyDescent="0.25">
      <c r="A17" s="22" t="s">
        <v>59</v>
      </c>
      <c r="B17" s="23">
        <f>SUM(B15:K15)</f>
        <v>39994506172.82839</v>
      </c>
    </row>
    <row r="19" spans="1:11" x14ac:dyDescent="0.25">
      <c r="A19" t="s">
        <v>7</v>
      </c>
      <c r="B19" s="9">
        <f>Assumptions!$B$10+($B$20-Assumptions!$B$10)*0/9</f>
        <v>0.07899271791310826</v>
      </c>
      <c r="C19" s="9">
        <f>Assumptions!$B$10+($B$20-Assumptions!$B$10)*1/9</f>
        <v>0.08837678036817591</v>
      </c>
      <c r="D19" s="9">
        <f>Assumptions!$B$10+($B$20-Assumptions!$B$10)*2/9</f>
        <v>0.09776084282324354</v>
      </c>
      <c r="E19" s="9">
        <f>Assumptions!$B$10+($B$20-Assumptions!$B$10)*3/9</f>
        <v>0.10714490527831119</v>
      </c>
      <c r="F19" s="9">
        <f>Assumptions!$B$10+($B$20-Assumptions!$B$10)*4/9</f>
        <v>0.11652896773337884</v>
      </c>
      <c r="G19" s="9">
        <f>Assumptions!$B$10+($B$20-Assumptions!$B$10)*5/9</f>
        <v>0.1259130301884465</v>
      </c>
      <c r="H19" s="9">
        <f>Assumptions!$B$10+($B$20-Assumptions!$B$10)*6/9</f>
        <v>0.13529709264351414</v>
      </c>
      <c r="I19" s="9">
        <f>Assumptions!$B$10+($B$20-Assumptions!$B$10)*7/9</f>
        <v>0.14468115509858176</v>
      </c>
      <c r="J19" s="9">
        <f>Assumptions!$B$10+($B$20-Assumptions!$B$10)*8/9</f>
        <v>0.1540652175536494</v>
      </c>
      <c r="K19" s="9">
        <f>Assumptions!$B$10+($B$20-Assumptions!$B$10)*9/9</f>
        <v>0.16344928000871706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0.16344928000871706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5088992729.42414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6921037317.203923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0.30643080807119766</v>
      </c>
    </row>
    <row r="7" spans="1:2" x14ac:dyDescent="0.25">
      <c r="A7" t="s">
        <v>66</v>
      </c>
      <c r="B7" s="18">
        <f>-MAX(B5,0)*B6</f>
        <v>-2120819057.801712</v>
      </c>
    </row>
    <row r="8" spans="1:2" x14ac:dyDescent="0.25">
      <c r="A8" t="s">
        <v>67</v>
      </c>
      <c r="B8" s="18">
        <f>IF(OR(Assumptions!$B$33=0,Assumptions!B12&lt;=0),B5,MAX(B5+B7,0))</f>
        <v>4800218259.402211</v>
      </c>
    </row>
    <row r="9" spans="1:2" x14ac:dyDescent="0.25">
      <c r="A9" t="s">
        <v>68</v>
      </c>
      <c r="B9" s="18">
        <f>B8*(1+Assumptions!B12)/(Assumptions!B26-Assumptions!B12)</f>
        <v>114291748105.06331</v>
      </c>
    </row>
    <row r="10" spans="1:2" x14ac:dyDescent="0.25">
      <c r="A10" t="s">
        <v>69</v>
      </c>
      <c r="B10" s="18">
        <f>B9/(1+Assumptions!B26)^(10-0.5*Assumptions!B32)</f>
        <v>61149940962.99147</v>
      </c>
    </row>
    <row r="11" spans="1:2" x14ac:dyDescent="0.25">
      <c r="A11" t="s">
        <v>70</v>
      </c>
      <c r="B11" s="18">
        <f>Forecast!B17+B10</f>
        <v>101144447135.81985</v>
      </c>
    </row>
    <row r="12" spans="1:2" x14ac:dyDescent="0.25">
      <c r="A12" t="s">
        <v>71</v>
      </c>
      <c r="B12" s="18">
        <f>-Assumptions!B30</f>
        <v>-28325000000</v>
      </c>
    </row>
    <row r="13" spans="1:2" x14ac:dyDescent="0.25">
      <c r="A13" t="s">
        <v>72</v>
      </c>
      <c r="B13" s="18">
        <f>B11+B12</f>
        <v>72819447135.81985</v>
      </c>
    </row>
    <row r="14" spans="1:2" x14ac:dyDescent="0.25">
      <c r="A14" s="19" t="s">
        <v>73</v>
      </c>
      <c r="B14" s="24">
        <f>B13/Assumptions!B31</f>
        <v>132.64015871734034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10589746706.686167</v>
      </c>
    </row>
    <row r="18" spans="1:2" x14ac:dyDescent="0.25">
      <c r="A18" t="s">
        <v>68</v>
      </c>
      <c r="B18" s="18">
        <f>B17*Assumptions!B13</f>
        <v>65654243725.76558</v>
      </c>
    </row>
    <row r="19" spans="1:2" x14ac:dyDescent="0.25">
      <c r="A19" t="s">
        <v>69</v>
      </c>
      <c r="B19" s="18">
        <f>B18/(1+Assumptions!B26)^(10-0.5*Assumptions!B32)</f>
        <v>35127235293.57373</v>
      </c>
    </row>
    <row r="20" spans="1:2" x14ac:dyDescent="0.25">
      <c r="A20" t="s">
        <v>70</v>
      </c>
      <c r="B20" s="18">
        <f>Forecast!B17+B19</f>
        <v>75121741466.40213</v>
      </c>
    </row>
    <row r="21" spans="1:2" x14ac:dyDescent="0.25">
      <c r="A21" t="s">
        <v>71</v>
      </c>
      <c r="B21" s="18">
        <f>-Assumptions!B30</f>
        <v>-28325000000</v>
      </c>
    </row>
    <row r="22" spans="1:2" x14ac:dyDescent="0.25">
      <c r="A22" t="s">
        <v>72</v>
      </c>
      <c r="B22" s="18">
        <f>B20+B21</f>
        <v>46796741466.40213</v>
      </c>
    </row>
    <row r="23" spans="1:2" x14ac:dyDescent="0.25">
      <c r="A23" s="19" t="s">
        <v>73</v>
      </c>
      <c r="B23" s="25">
        <f>B22/Assumptions!B31</f>
        <v>85.23996624116964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50.02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132.64015871734034</v>
      </c>
    </row>
    <row r="29" spans="1:2" x14ac:dyDescent="0.25">
      <c r="A29" s="19" t="s">
        <v>81</v>
      </c>
      <c r="B29" s="11">
        <f>B28/B26-1</f>
        <v>1.6517424773558642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0.04805</v>
      </c>
      <c r="B5" s="31">
        <v>235.16710375306187</v>
      </c>
      <c r="C5" s="31">
        <v>251.8043989234797</v>
      </c>
      <c r="D5" s="31">
        <v>276.5780632554809</v>
      </c>
      <c r="E5" s="31">
        <v>316.24962236811035</v>
      </c>
      <c r="F5" s="31">
        <v>387.94309325059544</v>
      </c>
    </row>
    <row r="6" spans="1:6" x14ac:dyDescent="0.25">
      <c r="A6" s="30">
        <v>0.05805</v>
      </c>
      <c r="B6" s="31">
        <v>171.15483976045675</v>
      </c>
      <c r="C6" s="31">
        <v>176.02776724393973</v>
      </c>
      <c r="D6" s="31">
        <v>182.97974063542426</v>
      </c>
      <c r="E6" s="31">
        <v>193.12254919052626</v>
      </c>
      <c r="F6" s="31">
        <v>208.53265830856284</v>
      </c>
    </row>
    <row r="7" spans="1:6" x14ac:dyDescent="0.25">
      <c r="A7" s="30">
        <v>0.06805</v>
      </c>
      <c r="B7" s="31">
        <v>131.18190325890535</v>
      </c>
      <c r="C7" s="31">
        <v>131.6381544478085</v>
      </c>
      <c r="D7" s="32">
        <v>132.63893667014116</v>
      </c>
      <c r="E7" s="31">
        <v>134.39891393382584</v>
      </c>
      <c r="F7" s="31">
        <v>137.26265282343962</v>
      </c>
    </row>
    <row r="8" spans="1:6" x14ac:dyDescent="0.25">
      <c r="A8" s="30">
        <v>0.07805</v>
      </c>
      <c r="B8" s="31">
        <v>103.81711023756105</v>
      </c>
      <c r="C8" s="31">
        <v>102.42573659041597</v>
      </c>
      <c r="D8" s="31">
        <v>101.10861084065772</v>
      </c>
      <c r="E8" s="31">
        <v>99.8889113121324</v>
      </c>
      <c r="F8" s="31">
        <v>98.80058442338806</v>
      </c>
    </row>
    <row r="9" spans="1:6" x14ac:dyDescent="0.25">
      <c r="A9" s="30">
        <v>0.08805</v>
      </c>
      <c r="B9" s="31">
        <v>85.39738737171878</v>
      </c>
      <c r="C9" s="31">
        <v>83.83184572028583</v>
      </c>
      <c r="D9" s="31">
        <v>82.26630406885293</v>
      </c>
      <c r="E9" s="31">
        <v>80.70076241741997</v>
      </c>
      <c r="F9" s="31">
        <v>79.13522076598704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21193000000</v>
      </c>
      <c r="C5" s="18">
        <v>20456000000</v>
      </c>
      <c r="D5" s="18">
        <v>19093000000</v>
      </c>
      <c r="E5" s="18">
        <v>17737000000</v>
      </c>
      <c r="F5" s="6" t="s">
        <v>91</v>
      </c>
    </row>
    <row r="6" spans="1:6" x14ac:dyDescent="0.25">
      <c r="A6" t="s">
        <v>51</v>
      </c>
      <c r="B6" s="18">
        <v>5698000000</v>
      </c>
      <c r="C6" s="18">
        <v>5879000000</v>
      </c>
      <c r="D6" s="18">
        <v>4847000000</v>
      </c>
      <c r="E6" s="18">
        <v>3686000000</v>
      </c>
      <c r="F6" s="6" t="s">
        <v>92</v>
      </c>
    </row>
    <row r="7" spans="1:6" x14ac:dyDescent="0.25">
      <c r="A7" t="s">
        <v>93</v>
      </c>
      <c r="B7" s="18">
        <v>3161000000</v>
      </c>
      <c r="C7" s="18">
        <v>3095000000</v>
      </c>
      <c r="D7" s="18">
        <v>3121000000</v>
      </c>
      <c r="E7" s="18">
        <v>3169000000</v>
      </c>
      <c r="F7" s="6" t="s">
        <v>94</v>
      </c>
    </row>
    <row r="8" spans="1:6" x14ac:dyDescent="0.25">
      <c r="A8" t="s">
        <v>95</v>
      </c>
      <c r="B8" s="18">
        <v>1763000000</v>
      </c>
      <c r="C8" s="18">
        <v>1569000000</v>
      </c>
      <c r="D8" s="18">
        <v>1388000000</v>
      </c>
      <c r="E8" s="18">
        <v>1479000000</v>
      </c>
      <c r="F8" s="6" t="s">
        <v>96</v>
      </c>
    </row>
    <row r="9" spans="1:6" x14ac:dyDescent="0.25">
      <c r="A9" t="s">
        <v>97</v>
      </c>
      <c r="B9" s="18">
        <v>9000000</v>
      </c>
      <c r="C9" s="18">
        <v>338000000</v>
      </c>
      <c r="D9" s="18">
        <v>912000000</v>
      </c>
      <c r="E9" s="18">
        <v>744000000</v>
      </c>
      <c r="F9" s="6" t="s">
        <v>98</v>
      </c>
    </row>
    <row r="10" spans="1:6" x14ac:dyDescent="0.25">
      <c r="A10" t="s">
        <v>99</v>
      </c>
      <c r="B10" s="18">
        <v>29123000000</v>
      </c>
      <c r="C10" s="18">
        <v>24956000000</v>
      </c>
      <c r="D10" s="18">
        <v>23236000000</v>
      </c>
      <c r="E10" s="18">
        <v>21542000000</v>
      </c>
      <c r="F10" s="6" t="s">
        <v>100</v>
      </c>
    </row>
    <row r="11" spans="1:6" x14ac:dyDescent="0.25">
      <c r="A11" t="s">
        <v>101</v>
      </c>
      <c r="B11" s="18">
        <v>798000000</v>
      </c>
      <c r="C11" s="18">
        <v>1236000000</v>
      </c>
      <c r="D11" s="18">
        <v>1204000000</v>
      </c>
      <c r="E11" s="18">
        <v>902000000</v>
      </c>
      <c r="F11" s="6" t="s">
        <v>102</v>
      </c>
    </row>
    <row r="12" spans="1:6" x14ac:dyDescent="0.25">
      <c r="A12" t="s">
        <v>34</v>
      </c>
      <c r="B12" s="34">
        <v>549000000</v>
      </c>
      <c r="C12" s="34">
        <v>582100000</v>
      </c>
      <c r="D12" s="34">
        <v>616064257</v>
      </c>
      <c r="E12" s="34">
        <v>647900000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