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<sst xmlns="http://schemas.openxmlformats.org/spreadsheetml/2006/main" count="112" uniqueCount="100">
  <si>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Fifth Third Bancorp (FITB)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</si>
  <si>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</si>
  <si>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</si>
  <si>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</si>
  <si>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</si>
  <si>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</si>
  <si>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</si>
  <si>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</si>
  <si>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</si>
  <si>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</si>
  <si>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</si>
  <si>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</si>
  <si>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</si>
  <si>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</si>
  <si>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</si>
  <si>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</si>
  <si>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</si>
  <si>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</si>
  <si>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</si>
  <si>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</si>
  <si>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</si>
  <si>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</si>
  <si>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Implied cost of debt of 24.2% is not a credible funding cost, so risk-free + 2bp is assumed instead. Interest expense and reported debt are measuring different things - common for banks, whose interest expense includes deposits that total debt excludes.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</si>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</sst>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0.02874687207964821</v>
      </c>
    </row>
    <row r="7" spans="1:2" x14ac:dyDescent="0.25">
      <c r="A7" t="s">
        <v>5</v>
      </c>
      <c r="B7" s="6">
        <v>0.36317375550448705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0.05781381924120188</v>
      </c>
    </row>
    <row r="10" spans="1:2" x14ac:dyDescent="0.25">
      <c r="A10" t="s">
        <v>8</v>
      </c>
      <c r="B10" s="6">
        <v>0.06904422109683679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15.522891270119523</v>
      </c>
    </row>
    <row r="14" spans="1:3" x14ac:dyDescent="0.25">
      <c r="A14" t="s">
        <v>12</v>
      </c>
      <c r="B14" s="6">
        <v>0.09129740034348677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0.94171</v>
      </c>
      <c r="C19" s="8" t="s">
        <v>19</v>
      </c>
    </row>
    <row r="20" spans="1:2" x14ac:dyDescent="0.25">
      <c r="A20" t="s">
        <v>20</v>
      </c>
      <c r="B20" s="10">
        <f>B17+B19*B18</f>
        <v>0.10177405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47983685632</v>
      </c>
    </row>
    <row r="23" spans="1:2" x14ac:dyDescent="0.25">
      <c r="A23" t="s">
        <v>24</v>
      </c>
      <c r="B23" s="11">
        <v>13959000000</v>
      </c>
    </row>
    <row r="24" spans="1:2" x14ac:dyDescent="0.25">
      <c r="A24" t="s">
        <v>25</v>
      </c>
      <c r="B24" s="10">
        <f>B22/(B22+B23)</f>
        <v>0.7746465162500367</v>
      </c>
    </row>
    <row r="25" spans="1:2" x14ac:dyDescent="0.25">
      <c r="A25" t="s">
        <v>26</v>
      </c>
      <c r="B25" s="10">
        <f>1-B24</f>
        <v>0.22535348374996333</v>
      </c>
    </row>
    <row r="26" spans="1:2" x14ac:dyDescent="0.25">
      <c r="A26" t="s">
        <v>27</v>
      </c>
      <c r="B26" s="12">
        <f>B24*B20+B25*B21*(1-B8)</f>
        <v>0.09129740034348677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8821000000</v>
      </c>
      <c r="C29" s="8" t="s">
        <v>30</v>
      </c>
    </row>
    <row r="30" spans="1:2" x14ac:dyDescent="0.25">
      <c r="A30" t="s">
        <v>31</v>
      </c>
      <c r="B30" s="11">
        <v>10460000000</v>
      </c>
    </row>
    <row r="31" spans="1:2" x14ac:dyDescent="0.25">
      <c r="A31" t="s">
        <v>32</v>
      </c>
      <c r="B31" s="13">
        <v>672503000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0.02874687207964821</v>
      </c>
      <c r="C5" s="10">
        <f>Assumptions!B6</f>
        <v>0.02874687207964821</v>
      </c>
      <c r="D5" s="10">
        <f>Assumptions!B6</f>
        <v>0.02874687207964821</v>
      </c>
      <c r="E5" s="10">
        <f>Assumptions!B6</f>
        <v>0.02874687207964821</v>
      </c>
      <c r="F5" s="10">
        <f>Assumptions!B6</f>
        <v>0.02874687207964821</v>
      </c>
    </row>
    <row r="6" spans="1:6" x14ac:dyDescent="0.25">
      <c r="A6" t="s">
        <v>43</v>
      </c>
      <c r="B6" s="18">
        <f>Assumptions!B29*(1+B5)</f>
        <v>9074576158.614576</v>
      </c>
      <c r="C6" s="18">
        <f>B6*(1+C5)</f>
        <v>9335441838.623295</v>
      </c>
      <c r="D6" s="18">
        <f>C6*(1+D5)</f>
        <v>9603806590.965195</v>
      </c>
      <c r="E6" s="18">
        <f>D6*(1+E5)</f>
        <v>9879885990.513353</v>
      </c>
      <c r="F6" s="18">
        <f>E6*(1+F5)</f>
        <v>10163901809.244148</v>
      </c>
    </row>
    <row r="7" spans="1:6" x14ac:dyDescent="0.25">
      <c r="A7" t="s">
        <v>5</v>
      </c>
      <c r="B7" s="10">
        <f>Assumptions!B7</f>
        <v>0.36317375550448705</v>
      </c>
      <c r="C7" s="10">
        <f>Assumptions!B7</f>
        <v>0.36317375550448705</v>
      </c>
      <c r="D7" s="10">
        <f>Assumptions!B7</f>
        <v>0.36317375550448705</v>
      </c>
      <c r="E7" s="10">
        <f>Assumptions!B7</f>
        <v>0.36317375550448705</v>
      </c>
      <c r="F7" s="10">
        <f>Assumptions!B7</f>
        <v>0.36317375550448705</v>
      </c>
    </row>
    <row r="8" spans="1:6" x14ac:dyDescent="0.25">
      <c r="A8" t="s">
        <v>44</v>
      </c>
      <c r="B8" s="18">
        <f>B6*B7</f>
        <v>3295647903.1355376</v>
      </c>
      <c r="C8" s="18">
        <f>C6*C7</f>
        <v>3390387471.8265357</v>
      </c>
      <c r="D8" s="18">
        <f>D6*D7</f>
        <v>3487850506.779575</v>
      </c>
      <c r="E8" s="18">
        <f>E6*E7</f>
        <v>3588115299.1309032</v>
      </c>
      <c r="F8" s="18">
        <f>F6*F7</f>
        <v>3691262390.642048</v>
      </c>
    </row>
    <row r="9" spans="1:6" x14ac:dyDescent="0.25">
      <c r="A9" t="s">
        <v>45</v>
      </c>
      <c r="B9" s="18">
        <f>B8*(1-Assumptions!B8)</f>
        <v>2603561843.4770746</v>
      </c>
      <c r="C9" s="18">
        <f>C8*(1-Assumptions!B8)</f>
        <v>2678406102.7429633</v>
      </c>
      <c r="D9" s="18">
        <f>D8*(1-Assumptions!B8)</f>
        <v>2755401900.355864</v>
      </c>
      <c r="E9" s="18">
        <f>E8*(1-Assumptions!B8)</f>
        <v>2834611086.3134136</v>
      </c>
      <c r="F9" s="18">
        <f>F8*(1-Assumptions!B8)</f>
        <v>2916097288.607218</v>
      </c>
    </row>
    <row r="10" spans="1:6" x14ac:dyDescent="0.25">
      <c r="A10" t="s">
        <v>46</v>
      </c>
      <c r="B10" s="18">
        <f>B6*Assumptions!B9</f>
        <v>524635905.72466326</v>
      </c>
      <c r="C10" s="18">
        <f>C6*Assumptions!B9</f>
        <v>539717546.9949205</v>
      </c>
      <c r="D10" s="18">
        <f>D6*Assumptions!B9</f>
        <v>555232738.2775251</v>
      </c>
      <c r="E10" s="18">
        <f>E6*Assumptions!B9</f>
        <v>571193942.7792218</v>
      </c>
      <c r="F10" s="18">
        <f>F6*Assumptions!B9</f>
        <v>587613981.9849659</v>
      </c>
    </row>
    <row r="11" spans="1:6" x14ac:dyDescent="0.25">
      <c r="A11" t="s">
        <v>47</v>
      </c>
      <c r="B11" s="18">
        <f>-B6*Assumptions!B10</f>
        <v>-626547042.6554687</v>
      </c>
      <c r="C11" s="18">
        <f>-C6*Assumptions!B10</f>
        <v>-644558310.3425673</v>
      </c>
      <c r="D11" s="18">
        <f>-D6*Assumptions!B10</f>
        <v>-663087345.6378593</v>
      </c>
      <c r="E11" s="18">
        <f>-E6*Assumptions!B10</f>
        <v>-682149032.7405443</v>
      </c>
      <c r="F11" s="18">
        <f>-F6*Assumptions!B10</f>
        <v>-701758683.7239925</v>
      </c>
    </row>
    <row r="12" spans="1:6" x14ac:dyDescent="0.25">
      <c r="A12" t="s">
        <v>48</v>
      </c>
      <c r="B12" s="18">
        <f>-(B6-Assumptions!B29)*Assumptions!B11</f>
        <v>253576158.61457634</v>
      </c>
      <c r="C12" s="18">
        <f>-(C6-B6)*Assumptions!B11</f>
        <v>260865680.0087185</v>
      </c>
      <c r="D12" s="18">
        <f>-(D6-C6)*Assumptions!B11</f>
        <v>268364752.34189987</v>
      </c>
      <c r="E12" s="18">
        <f>-(E6-D6)*Assumptions!B11</f>
        <v>276079399.54815865</v>
      </c>
      <c r="F12" s="18">
        <f>-(F6-E6)*Assumptions!B11</f>
        <v>284015818.7307949</v>
      </c>
    </row>
    <row r="13" spans="1:6" x14ac:dyDescent="0.25">
      <c r="A13" s="19" t="s">
        <v>49</v>
      </c>
      <c r="B13" s="20">
        <f>B9+B10+B11+B12</f>
        <v>2755226865.1608458</v>
      </c>
      <c r="C13" s="20">
        <f>C9+C10+C11+C12</f>
        <v>2834431019.4040346</v>
      </c>
      <c r="D13" s="20">
        <f>D9+D10+D11+D12</f>
        <v>2915912045.3374295</v>
      </c>
      <c r="E13" s="20">
        <f>E9+E10+E11+E12</f>
        <v>2999735395.9002495</v>
      </c>
      <c r="F13" s="20">
        <f>F9+F10+F11+F12</f>
        <v>3085968405.598986</v>
      </c>
    </row>
    <row r="14" spans="1:6" x14ac:dyDescent="0.25">
      <c r="A14" t="s">
        <v>50</v>
      </c>
      <c r="B14" s="21">
        <f>1/(1+Assumptions!$B$26)^(1-0.5*Assumptions!$B$32)</f>
        <v>0.9572567549925972</v>
      </c>
      <c r="C14" s="21">
        <f>1/(1+Assumptions!$B$26)^(2-0.5*Assumptions!$B$32)</f>
        <v>0.877173128691867</v>
      </c>
      <c r="D14" s="21">
        <f>1/(1+Assumptions!$B$26)^(3-0.5*Assumptions!$B$32)</f>
        <v>0.8037892589277461</v>
      </c>
      <c r="E14" s="21">
        <f>1/(1+Assumptions!$B$26)^(4-0.5*Assumptions!$B$32)</f>
        <v>0.73654464738462</v>
      </c>
      <c r="F14" s="21">
        <f>1/(1+Assumptions!$B$26)^(5-0.5*Assumptions!$B$32)</f>
        <v>0.6749256867585244</v>
      </c>
    </row>
    <row r="15" spans="1:6" x14ac:dyDescent="0.25">
      <c r="A15" s="19" t="s">
        <v>51</v>
      </c>
      <c r="B15" s="20">
        <f>B13*B14</f>
        <v>2637459528.2122974</v>
      </c>
      <c r="C15" s="20">
        <f>C13*C14</f>
        <v>2486286725.351915</v>
      </c>
      <c r="D15" s="20">
        <f>D13*D14</f>
        <v>2343778782.020261</v>
      </c>
      <c r="E15" s="20">
        <f>E13*E14</f>
        <v>2209439049.4205127</v>
      </c>
      <c r="F15" s="20">
        <f>F13*F14</f>
        <v>2082799345.4640043</v>
      </c>
    </row>
    <row r="17" spans="1:2" x14ac:dyDescent="0.25">
      <c r="A17" s="22" t="s">
        <v>52</v>
      </c>
      <c r="B17" s="23">
        <f>SUM(B15:F15)</f>
        <v>11759763430.46899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3085968405.598986</v>
      </c>
    </row>
    <row r="5" spans="1:2" x14ac:dyDescent="0.25">
      <c r="A5" t="s">
        <v>56</v>
      </c>
      <c r="B5" s="18">
        <f>IF(Assumptions!$B$33=0,B4,B4-Forecast!F11-Forecast!F10-Forecast!F12)</f>
        <v>2916097288.607218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0.2738303599658139</v>
      </c>
    </row>
    <row r="7" spans="1:2" x14ac:dyDescent="0.25">
      <c r="A7" t="s">
        <v>58</v>
      </c>
      <c r="B7" s="18">
        <f>-MAX(Forecast!F9,0)*B6</f>
        <v>-798515970.2346483</v>
      </c>
    </row>
    <row r="8" spans="1:2" x14ac:dyDescent="0.25">
      <c r="A8" t="s">
        <v>59</v>
      </c>
      <c r="B8" s="18">
        <f>IF(OR(Assumptions!$B$33=0,Assumptions!B12&lt;=0),B5,MAX(B5+B7,0))</f>
        <v>2117581318.3725696</v>
      </c>
    </row>
    <row r="9" spans="1:2" x14ac:dyDescent="0.25">
      <c r="A9" t="s">
        <v>60</v>
      </c>
      <c r="B9" s="18">
        <f>B8*(1+Assumptions!B12)/(Assumptions!B26-Assumptions!B12)</f>
        <v>32739154779.62057</v>
      </c>
    </row>
    <row r="10" spans="1:2" x14ac:dyDescent="0.25">
      <c r="A10" t="s">
        <v>61</v>
      </c>
      <c r="B10" s="18">
        <f>B9/(1+Assumptions!B26)^(5-0.5*Assumptions!B32)</f>
        <v>22096496523.52904</v>
      </c>
    </row>
    <row r="11" spans="1:2" x14ac:dyDescent="0.25">
      <c r="A11" t="s">
        <v>62</v>
      </c>
      <c r="B11" s="18">
        <f>Forecast!B17+B10</f>
        <v>33856259953.99803</v>
      </c>
    </row>
    <row r="12" spans="1:2" x14ac:dyDescent="0.25">
      <c r="A12" t="s">
        <v>63</v>
      </c>
      <c r="B12" s="18">
        <f>-Assumptions!B30</f>
        <v>-10460000000</v>
      </c>
    </row>
    <row r="13" spans="1:2" x14ac:dyDescent="0.25">
      <c r="A13" t="s">
        <v>64</v>
      </c>
      <c r="B13" s="18">
        <f>B11+B12</f>
        <v>23396259953.99803</v>
      </c>
    </row>
    <row r="14" spans="1:2" x14ac:dyDescent="0.25">
      <c r="A14" s="19" t="s">
        <v>65</v>
      </c>
      <c r="B14" s="24">
        <f>B13/Assumptions!B31</f>
        <v>34.78982243052898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4278876372.6270137</v>
      </c>
    </row>
    <row r="18" spans="1:2" x14ac:dyDescent="0.25">
      <c r="A18" t="s">
        <v>60</v>
      </c>
      <c r="B18" s="18">
        <f>B17*Assumptions!B13</f>
        <v>66420532690.57256</v>
      </c>
    </row>
    <row r="19" spans="1:2" x14ac:dyDescent="0.25">
      <c r="A19" t="s">
        <v>61</v>
      </c>
      <c r="B19" s="18">
        <f>B18/(1+Assumptions!B26)^(5-0.5*Assumptions!B32)</f>
        <v>44828923641.051704</v>
      </c>
    </row>
    <row r="20" spans="1:2" x14ac:dyDescent="0.25">
      <c r="A20" t="s">
        <v>62</v>
      </c>
      <c r="B20" s="18">
        <f>Forecast!B17+B19</f>
        <v>56588687071.52069</v>
      </c>
    </row>
    <row r="21" spans="1:2" x14ac:dyDescent="0.25">
      <c r="A21" t="s">
        <v>63</v>
      </c>
      <c r="B21" s="18">
        <f>-Assumptions!B30</f>
        <v>-10460000000</v>
      </c>
    </row>
    <row r="22" spans="1:2" x14ac:dyDescent="0.25">
      <c r="A22" t="s">
        <v>64</v>
      </c>
      <c r="B22" s="18">
        <f>B20+B21</f>
        <v>46128687071.52069</v>
      </c>
    </row>
    <row r="23" spans="1:2" x14ac:dyDescent="0.25">
      <c r="A23" s="19" t="s">
        <v>65</v>
      </c>
      <c r="B23" s="25">
        <f>B22/Assumptions!B31</f>
        <v>68.59253724001334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52.91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34.78982243052898</v>
      </c>
    </row>
    <row r="29" spans="1:2" x14ac:dyDescent="0.25">
      <c r="A29" s="19" t="s">
        <v>73</v>
      </c>
      <c r="B29" s="12">
        <f>B28/B26-1</f>
        <v>-0.34247169853470083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0.071297</v>
      </c>
      <c r="B5" s="31">
        <v>48.006859766050525</v>
      </c>
      <c r="C5" s="31">
        <v>48.22991480149317</v>
      </c>
      <c r="D5" s="31">
        <v>48.45296983693581</v>
      </c>
      <c r="E5" s="31">
        <v>48.67602487237845</v>
      </c>
      <c r="F5" s="31">
        <v>48.899079907821076</v>
      </c>
    </row>
    <row r="6" spans="1:6" x14ac:dyDescent="0.25">
      <c r="A6" s="30">
        <v>0.081297</v>
      </c>
      <c r="B6" s="31">
        <v>40.406321384788946</v>
      </c>
      <c r="C6" s="31">
        <v>40.5939291354229</v>
      </c>
      <c r="D6" s="31">
        <v>40.78153688605685</v>
      </c>
      <c r="E6" s="31">
        <v>40.969144636690814</v>
      </c>
      <c r="F6" s="31">
        <v>41.15675238732476</v>
      </c>
    </row>
    <row r="7" spans="1:6" x14ac:dyDescent="0.25">
      <c r="A7" s="30">
        <v>0.091297</v>
      </c>
      <c r="B7" s="31">
        <v>34.46947705217742</v>
      </c>
      <c r="C7" s="31">
        <v>34.629756543148545</v>
      </c>
      <c r="D7" s="32">
        <v>34.79003603411965</v>
      </c>
      <c r="E7" s="31">
        <v>34.95031552509077</v>
      </c>
      <c r="F7" s="31">
        <v>35.110595016061886</v>
      </c>
    </row>
    <row r="8" spans="1:6" x14ac:dyDescent="0.25">
      <c r="A8" s="30">
        <v>0.101297</v>
      </c>
      <c r="B8" s="31">
        <v>29.70367439239703</v>
      </c>
      <c r="C8" s="31">
        <v>29.842321607613417</v>
      </c>
      <c r="D8" s="31">
        <v>29.98096882282981</v>
      </c>
      <c r="E8" s="31">
        <v>30.119616038046196</v>
      </c>
      <c r="F8" s="31">
        <v>30.258263253262587</v>
      </c>
    </row>
    <row r="9" spans="1:6" x14ac:dyDescent="0.25">
      <c r="A9" s="30">
        <v>0.111297</v>
      </c>
      <c r="B9" s="31">
        <v>25.793314917136733</v>
      </c>
      <c r="C9" s="31">
        <v>25.914474756949375</v>
      </c>
      <c r="D9" s="31">
        <v>26.035634596761998</v>
      </c>
      <c r="E9" s="31">
        <v>26.156794436574636</v>
      </c>
      <c r="F9" s="31">
        <v>26.27795427638726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8821000000</v>
      </c>
      <c r="C5" s="18">
        <v>8274000000</v>
      </c>
      <c r="D5" s="18">
        <v>8429000000</v>
      </c>
      <c r="E5" s="18">
        <v>8102000000</v>
      </c>
      <c r="F5" s="8" t="s">
        <v>84</v>
      </c>
    </row>
    <row r="6" spans="1:6" x14ac:dyDescent="0.25">
      <c r="A6" t="s">
        <v>44</v>
      </c>
      <c r="B6" s="18">
        <v>3211000000</v>
      </c>
      <c r="C6" s="18">
        <v>2916000000</v>
      </c>
      <c r="D6" s="18">
        <v>2988000000</v>
      </c>
      <c r="E6" s="18">
        <v>3093000000</v>
      </c>
      <c r="F6" s="8" t="s">
        <v>85</v>
      </c>
    </row>
    <row r="7" spans="1:6" x14ac:dyDescent="0.25">
      <c r="A7" t="s">
        <v>86</v>
      </c>
      <c r="B7" s="18">
        <v>554000000</v>
      </c>
      <c r="C7" s="18">
        <v>495000000</v>
      </c>
      <c r="D7" s="18">
        <v>462000000</v>
      </c>
      <c r="E7" s="18">
        <v>436000000</v>
      </c>
      <c r="F7" s="8" t="s">
        <v>87</v>
      </c>
    </row>
    <row r="8" spans="1:6" x14ac:dyDescent="0.25">
      <c r="A8" t="s">
        <v>88</v>
      </c>
      <c r="B8" s="18">
        <v>709000000</v>
      </c>
      <c r="C8" s="18">
        <v>414000000</v>
      </c>
      <c r="D8" s="18">
        <v>516000000</v>
      </c>
      <c r="E8" s="18">
        <v>685000000</v>
      </c>
      <c r="F8" s="8" t="s">
        <v>89</v>
      </c>
    </row>
    <row r="9" spans="1:6" x14ac:dyDescent="0.25">
      <c r="A9" t="s">
        <v>90</v>
      </c>
      <c r="B9" s="18">
        <v>-393000000</v>
      </c>
      <c r="C9" s="18">
        <v>572000000</v>
      </c>
      <c r="D9" s="18">
        <v>-353000000</v>
      </c>
      <c r="E9" s="18">
        <v>-210000000</v>
      </c>
      <c r="F9" s="8" t="s">
        <v>91</v>
      </c>
    </row>
    <row r="10" spans="1:6" x14ac:dyDescent="0.25">
      <c r="A10" t="s">
        <v>92</v>
      </c>
      <c r="B10" s="18">
        <v>13959000000</v>
      </c>
      <c r="C10" s="18">
        <v>18495000000</v>
      </c>
      <c r="D10" s="18">
        <v>18908000000</v>
      </c>
      <c r="E10" s="18">
        <v>18040000000</v>
      </c>
      <c r="F10" s="8" t="s">
        <v>93</v>
      </c>
    </row>
    <row r="11" spans="1:6" x14ac:dyDescent="0.25">
      <c r="A11" t="s">
        <v>94</v>
      </c>
      <c r="B11" s="18">
        <v>3499000000</v>
      </c>
      <c r="C11" s="18">
        <v>3014000000</v>
      </c>
      <c r="D11" s="18">
        <v>3142000000</v>
      </c>
      <c r="E11" s="18">
        <v>3466000000</v>
      </c>
      <c r="F11" s="8" t="s">
        <v>95</v>
      </c>
    </row>
    <row r="12" spans="1:6" x14ac:dyDescent="0.25">
      <c r="A12" t="s">
        <v>32</v>
      </c>
      <c r="B12" s="34">
        <v>672503000</v>
      </c>
      <c r="C12" s="34">
        <v>687301000</v>
      </c>
      <c r="D12" s="34">
        <v>687678000</v>
      </c>
      <c r="E12" s="34">
        <v>694952000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2026-09-19T00:06:43Z</dcterms:modified>
</cp:coreProperties>
</file>