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<sst xmlns="http://schemas.openxmlformats.org/spreadsheetml/2006/main" count="112" uniqueCount="100">
  <si>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Comfort Systems USA, Inc. (FIX)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</si>
  <si>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</si>
  <si>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</si>
  <si>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</si>
  <si>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</si>
  <si>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</si>
  <si>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</si>
  <si>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</si>
  <si>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</si>
  <si>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</si>
  <si>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</si>
  <si>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</si>
  <si>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</si>
  <si>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</si>
  <si>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</si>
  <si>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</si>
  <si>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</si>
  <si>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</si>
  <si>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</si>
  <si>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</si>
  <si>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</si>
  <si>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</si>
  <si>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</si>
  <si>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</si>
  <si>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</si>
  <si>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</si>
  <si>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</si>
  <si>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</si>
  <si>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</si>
  <si>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</si>
  <si>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</si>
  <si>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</si>
  <si>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</si>
  <si>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</si>
  <si>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</si>
  <si>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</si>
  <si>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</si>
  <si>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</si>
  <si>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</si>
  <si>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</si>
  <si>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</si>
  <si>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</si>
  <si>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</si>
  <si>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</si>
  <si>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</si>
  <si>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</si>
  <si>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</si>
  <si>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</si>
  <si>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</si>
  <si>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</si>
  <si>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</si>
  <si>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</si>
  <si>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</si>
  <si>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</si>
  <si>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</si>
  <si>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</si>
  <si>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</si>
  <si>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</si>
  <si>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</si>
  <si>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</si>
  <si>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</si>
  <si>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</si>
  <si>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</si>
  <si>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</si>
  <si>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</si>
  <si>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</si>
  <si>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</si>
  <si>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</si>
  <si>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</si>
  <si>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</si>
  <si>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</si>
  <si>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</si>
  <si>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</si>
  <si>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</si>
  <si>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</si>
  <si>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</si>
  <si>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</si>
  <si>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</si>
  <si>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</si>
  <si>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</si>
  <si>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</si>
  <si>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</si>
  <si>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</si>
  <si>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</si>
  <si>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</si>
  <si>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</si>
  <si>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</si>
  <si>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</si>
  <si>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</si>
  <si>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</si>
  <si>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</si>
  <si>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</si>
  <si>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</si>
  <si>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</si>
  <si>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</si>
  <si>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</si>
  <si>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</si>
  <si>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</si>
  <si>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39.6x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</si>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</sst>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0.30025058911956903</v>
      </c>
    </row>
    <row r="7" spans="1:2" x14ac:dyDescent="0.25">
      <c r="A7" t="s">
        <v>5</v>
      </c>
      <c r="B7" s="6">
        <v>0.09781525588168684</v>
      </c>
    </row>
    <row r="8" spans="1:2" x14ac:dyDescent="0.25">
      <c r="A8" t="s">
        <v>6</v>
      </c>
      <c r="B8" s="6">
        <v>0.2094355187239119</v>
      </c>
    </row>
    <row r="9" spans="1:2" x14ac:dyDescent="0.25">
      <c r="A9" t="s">
        <v>7</v>
      </c>
      <c r="B9" s="6">
        <v>0.017903024992087388</v>
      </c>
    </row>
    <row r="10" spans="1:2" x14ac:dyDescent="0.25">
      <c r="A10" t="s">
        <v>8</v>
      </c>
      <c r="B10" s="6">
        <v>0.015679693907340725</v>
      </c>
    </row>
    <row r="11" spans="1:2" x14ac:dyDescent="0.25">
      <c r="A11" t="s">
        <v>9</v>
      </c>
      <c r="B11" s="6">
        <v>-0.05898833206277091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0.29079902449543343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1.4529199999999998</v>
      </c>
      <c r="C19" s="8" t="s">
        <v>19</v>
      </c>
    </row>
    <row r="20" spans="1:2" x14ac:dyDescent="0.25">
      <c r="A20" t="s">
        <v>20</v>
      </c>
      <c r="B20" s="10">
        <f>B17+B19*B18</f>
        <v>0.1298906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58118856704</v>
      </c>
    </row>
    <row r="23" spans="1:2" x14ac:dyDescent="0.25">
      <c r="A23" t="s">
        <v>24</v>
      </c>
      <c r="B23" s="11">
        <v>483358000</v>
      </c>
    </row>
    <row r="24" spans="1:2" x14ac:dyDescent="0.25">
      <c r="A24" t="s">
        <v>25</v>
      </c>
      <c r="B24" s="10">
        <f>B22/(B22+B23)</f>
        <v>0.9917518816918193</v>
      </c>
    </row>
    <row r="25" spans="1:2" x14ac:dyDescent="0.25">
      <c r="A25" t="s">
        <v>26</v>
      </c>
      <c r="B25" s="10">
        <f>1-B24</f>
        <v>0.00824811830818073</v>
      </c>
    </row>
    <row r="26" spans="1:2" x14ac:dyDescent="0.25">
      <c r="A26" t="s">
        <v>27</v>
      </c>
      <c r="B26" s="12">
        <f>B24*B20+B25*B21*(1-B8)</f>
        <v>0.12914515001928253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9101641000</v>
      </c>
      <c r="C29" s="8" t="s">
        <v>30</v>
      </c>
    </row>
    <row r="30" spans="1:2" x14ac:dyDescent="0.25">
      <c r="A30" t="s">
        <v>31</v>
      </c>
      <c r="B30" s="11">
        <v>-498540000</v>
      </c>
    </row>
    <row r="31" spans="1:2" x14ac:dyDescent="0.25">
      <c r="A31" t="s">
        <v>32</v>
      </c>
      <c r="B31" s="13">
        <v>35413000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0.30025058911956903</v>
      </c>
      <c r="C5" s="10">
        <f>Assumptions!B6</f>
        <v>0.30025058911956903</v>
      </c>
      <c r="D5" s="10">
        <f>Assumptions!B6</f>
        <v>0.30025058911956903</v>
      </c>
      <c r="E5" s="10">
        <f>Assumptions!B6</f>
        <v>0.30025058911956903</v>
      </c>
      <c r="F5" s="10">
        <f>Assumptions!B6</f>
        <v>0.30025058911956903</v>
      </c>
    </row>
    <row r="6" spans="1:6" x14ac:dyDescent="0.25">
      <c r="A6" t="s">
        <v>43</v>
      </c>
      <c r="B6" s="18">
        <f>Assumptions!B29*(1+B5)</f>
        <v>11834414072.204823</v>
      </c>
      <c r="C6" s="18">
        <f>B6*(1+C5)</f>
        <v>15387703869.26924</v>
      </c>
      <c r="D6" s="18">
        <f>C6*(1+D5)</f>
        <v>20007871021.2148</v>
      </c>
      <c r="E6" s="18">
        <f>D6*(1+E5)</f>
        <v>26015246082.3629</v>
      </c>
      <c r="F6" s="18">
        <f>E6*(1+F5)</f>
        <v>33826339044.682922</v>
      </c>
    </row>
    <row r="7" spans="1:6" x14ac:dyDescent="0.25">
      <c r="A7" t="s">
        <v>5</v>
      </c>
      <c r="B7" s="10">
        <f>Assumptions!B7</f>
        <v>0.09781525588168684</v>
      </c>
      <c r="C7" s="10">
        <f>Assumptions!B7</f>
        <v>0.09781525588168684</v>
      </c>
      <c r="D7" s="10">
        <f>Assumptions!B7</f>
        <v>0.09781525588168684</v>
      </c>
      <c r="E7" s="10">
        <f>Assumptions!B7</f>
        <v>0.09781525588168684</v>
      </c>
      <c r="F7" s="10">
        <f>Assumptions!B7</f>
        <v>0.09781525588168684</v>
      </c>
    </row>
    <row r="8" spans="1:6" x14ac:dyDescent="0.25">
      <c r="A8" t="s">
        <v>44</v>
      </c>
      <c r="B8" s="18">
        <f>B6*B7</f>
        <v>1157586240.6825502</v>
      </c>
      <c r="C8" s="18">
        <f>C6*C7</f>
        <v>1505152191.4041934</v>
      </c>
      <c r="D8" s="18">
        <f>D6*D7</f>
        <v>1957075023.5879128</v>
      </c>
      <c r="E8" s="18">
        <f>E6*E7</f>
        <v>2544687952.371378</v>
      </c>
      <c r="F8" s="18">
        <f>F6*F7</f>
        <v>3308732009.1963544</v>
      </c>
    </row>
    <row r="9" spans="1:6" x14ac:dyDescent="0.25">
      <c r="A9" t="s">
        <v>45</v>
      </c>
      <c r="B9" s="18">
        <f>B8*(1-Assumptions!B8)</f>
        <v>915146565.8975372</v>
      </c>
      <c r="C9" s="18">
        <f>C8*(1-Assumptions!B8)</f>
        <v>1189919861.4390235</v>
      </c>
      <c r="D9" s="18">
        <f>D8*(1-Assumptions!B8)</f>
        <v>1547194000.8411663</v>
      </c>
      <c r="E9" s="18">
        <f>E8*(1-Assumptions!B8)</f>
        <v>2011739911.0759892</v>
      </c>
      <c r="F9" s="18">
        <f>F8*(1-Assumptions!B8)</f>
        <v>2615766004.5319047</v>
      </c>
    </row>
    <row r="10" spans="1:6" x14ac:dyDescent="0.25">
      <c r="A10" t="s">
        <v>46</v>
      </c>
      <c r="B10" s="18">
        <f>B6*Assumptions!B9</f>
        <v>211871810.90139362</v>
      </c>
      <c r="C10" s="18">
        <f>C6*Assumptions!B9</f>
        <v>275486446.942367</v>
      </c>
      <c r="D10" s="18">
        <f>D6*Assumptions!B9</f>
        <v>358201414.9312696</v>
      </c>
      <c r="E10" s="18">
        <f>E6*Assumptions!B9</f>
        <v>465751600.7878465</v>
      </c>
      <c r="F10" s="18">
        <f>F6*Assumptions!B9</f>
        <v>605593793.3077798</v>
      </c>
    </row>
    <row r="11" spans="1:6" x14ac:dyDescent="0.25">
      <c r="A11" t="s">
        <v>47</v>
      </c>
      <c r="B11" s="18">
        <f>-B6*Assumptions!B10</f>
        <v>-185559990.2248973</v>
      </c>
      <c r="C11" s="18">
        <f>-C6*Assumptions!B10</f>
        <v>-241274486.6069442</v>
      </c>
      <c r="D11" s="18">
        <f>-D6*Assumptions!B10</f>
        <v>-313717293.3502008</v>
      </c>
      <c r="E11" s="18">
        <f>-E6*Assumptions!B10</f>
        <v>-407911095.4955952</v>
      </c>
      <c r="F11" s="18">
        <f>-F6*Assumptions!B10</f>
        <v>-530386642.2265565</v>
      </c>
    </row>
    <row r="12" spans="1:6" x14ac:dyDescent="0.25">
      <c r="A12" t="s">
        <v>48</v>
      </c>
      <c r="B12" s="18">
        <f>-(B6-Assumptions!B29)*Assumptions!B11</f>
        <v>161201725.4354167</v>
      </c>
      <c r="C12" s="18">
        <f>-(C6-B6)*Assumptions!B11</f>
        <v>209602638.4644917</v>
      </c>
      <c r="D12" s="18">
        <f>-(D6-C6)*Assumptions!B11</f>
        <v>272535954.1444714</v>
      </c>
      <c r="E12" s="18">
        <f>-(E6-D6)*Assumptions!B11</f>
        <v>354365034.9326127</v>
      </c>
      <c r="F12" s="18">
        <f>-(F6-E6)*Assumptions!B11</f>
        <v>460763345.4345064</v>
      </c>
    </row>
    <row r="13" spans="1:6" x14ac:dyDescent="0.25">
      <c r="A13" s="19" t="s">
        <v>49</v>
      </c>
      <c r="B13" s="20">
        <f>B9+B10+B11+B12</f>
        <v>1102660112.0094504</v>
      </c>
      <c r="C13" s="20">
        <f>C9+C10+C11+C12</f>
        <v>1433734460.238938</v>
      </c>
      <c r="D13" s="20">
        <f>D9+D10+D11+D12</f>
        <v>1864214076.5667064</v>
      </c>
      <c r="E13" s="20">
        <f>E9+E10+E11+E12</f>
        <v>2423945451.3008533</v>
      </c>
      <c r="F13" s="20">
        <f>F9+F10+F11+F12</f>
        <v>3151736501.0476346</v>
      </c>
    </row>
    <row r="14" spans="1:6" x14ac:dyDescent="0.25">
      <c r="A14" t="s">
        <v>50</v>
      </c>
      <c r="B14" s="21">
        <f>1/(1+Assumptions!$B$26)^(1-0.5*Assumptions!$B$32)</f>
        <v>0.9410769001427137</v>
      </c>
      <c r="C14" s="21">
        <f>1/(1+Assumptions!$B$26)^(2-0.5*Assumptions!$B$32)</f>
        <v>0.8334419185404489</v>
      </c>
      <c r="D14" s="21">
        <f>1/(1+Assumptions!$B$26)^(3-0.5*Assumptions!$B$32)</f>
        <v>0.7381176091720502</v>
      </c>
      <c r="E14" s="21">
        <f>1/(1+Assumptions!$B$26)^(4-0.5*Assumptions!$B$32)</f>
        <v>0.6536959479119626</v>
      </c>
      <c r="F14" s="21">
        <f>1/(1+Assumptions!$B$26)^(5-0.5*Assumptions!$B$32)</f>
        <v>0.5789299523633425</v>
      </c>
    </row>
    <row r="15" spans="1:6" x14ac:dyDescent="0.25">
      <c r="A15" s="19" t="s">
        <v>51</v>
      </c>
      <c r="B15" s="20">
        <f>B13*B14</f>
        <v>1037687960.1208711</v>
      </c>
      <c r="C15" s="20">
        <f>C13*C14</f>
        <v>1194934399.2190955</v>
      </c>
      <c r="D15" s="20">
        <f>D13*D14</f>
        <v>1376009237.1802986</v>
      </c>
      <c r="E15" s="20">
        <f>E13*E14</f>
        <v>1584523319.4750013</v>
      </c>
      <c r="F15" s="20">
        <f>F13*F14</f>
        <v>1824634662.413315</v>
      </c>
    </row>
    <row r="17" spans="1:2" x14ac:dyDescent="0.25">
      <c r="A17" s="22" t="s">
        <v>52</v>
      </c>
      <c r="B17" s="23">
        <f>SUM(B15:F15)</f>
        <v>7017789578.408582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3151736501.0476346</v>
      </c>
    </row>
    <row r="5" spans="1:2" x14ac:dyDescent="0.25">
      <c r="A5" t="s">
        <v>56</v>
      </c>
      <c r="B5" s="18">
        <f>IF(Assumptions!$B$33=0,B4,B4-Forecast!F11-Forecast!F10-Forecast!F12)</f>
        <v>2899658379.8351912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0.08597002704317046</v>
      </c>
    </row>
    <row r="7" spans="1:2" x14ac:dyDescent="0.25">
      <c r="A7" t="s">
        <v>58</v>
      </c>
      <c r="B7" s="18">
        <f>-MAX(Forecast!F9,0)*B6</f>
        <v>-249283709.33038723</v>
      </c>
    </row>
    <row r="8" spans="1:2" x14ac:dyDescent="0.25">
      <c r="A8" t="s">
        <v>59</v>
      </c>
      <c r="B8" s="18">
        <f>IF(OR(Assumptions!$B$33=0,Assumptions!B12&lt;=0),B5,MAX(B5+B7,0))</f>
        <v>2650374670.504804</v>
      </c>
    </row>
    <row r="9" spans="1:2" x14ac:dyDescent="0.25">
      <c r="A9" t="s">
        <v>60</v>
      </c>
      <c r="B9" s="18">
        <f>B8*(1+Assumptions!B12)/(Assumptions!B26-Assumptions!B12)</f>
        <v>26085074886.007053</v>
      </c>
    </row>
    <row r="10" spans="1:2" x14ac:dyDescent="0.25">
      <c r="A10" t="s">
        <v>61</v>
      </c>
      <c r="B10" s="18">
        <f>B9/(1+Assumptions!B26)^(5-0.5*Assumptions!B32)</f>
        <v>15101431161.150286</v>
      </c>
    </row>
    <row r="11" spans="1:2" x14ac:dyDescent="0.25">
      <c r="A11" t="s">
        <v>62</v>
      </c>
      <c r="B11" s="18">
        <f>Forecast!B17+B10</f>
        <v>22119220739.55887</v>
      </c>
    </row>
    <row r="12" spans="1:2" x14ac:dyDescent="0.25">
      <c r="A12" t="s">
        <v>63</v>
      </c>
      <c r="B12" s="18">
        <f>-Assumptions!B30</f>
        <v>498540000</v>
      </c>
    </row>
    <row r="13" spans="1:2" x14ac:dyDescent="0.25">
      <c r="A13" t="s">
        <v>64</v>
      </c>
      <c r="B13" s="18">
        <f>B11+B12</f>
        <v>22617760739.55887</v>
      </c>
    </row>
    <row r="14" spans="1:2" x14ac:dyDescent="0.25">
      <c r="A14" s="19" t="s">
        <v>65</v>
      </c>
      <c r="B14" s="24">
        <f>B13/Assumptions!B31</f>
        <v>638.6852494721958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3914325802.504134</v>
      </c>
    </row>
    <row r="18" spans="1:2" x14ac:dyDescent="0.25">
      <c r="A18" t="s">
        <v>60</v>
      </c>
      <c r="B18" s="18">
        <f>B17*Assumptions!B13</f>
        <v>78286516050.08269</v>
      </c>
    </row>
    <row r="19" spans="1:2" x14ac:dyDescent="0.25">
      <c r="A19" t="s">
        <v>61</v>
      </c>
      <c r="B19" s="18">
        <f>B18/(1+Assumptions!B26)^(5-0.5*Assumptions!B32)</f>
        <v>45322409007.56642</v>
      </c>
    </row>
    <row r="20" spans="1:2" x14ac:dyDescent="0.25">
      <c r="A20" t="s">
        <v>62</v>
      </c>
      <c r="B20" s="18">
        <f>Forecast!B17+B19</f>
        <v>52340198585.975006</v>
      </c>
    </row>
    <row r="21" spans="1:2" x14ac:dyDescent="0.25">
      <c r="A21" t="s">
        <v>63</v>
      </c>
      <c r="B21" s="18">
        <f>-Assumptions!B30</f>
        <v>498540000</v>
      </c>
    </row>
    <row r="22" spans="1:2" x14ac:dyDescent="0.25">
      <c r="A22" t="s">
        <v>64</v>
      </c>
      <c r="B22" s="18">
        <f>B20+B21</f>
        <v>52838738585.975006</v>
      </c>
    </row>
    <row r="23" spans="1:2" x14ac:dyDescent="0.25">
      <c r="A23" s="19" t="s">
        <v>65</v>
      </c>
      <c r="B23" s="25">
        <f>B22/Assumptions!B31</f>
        <v>1492.0717980960383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1651.37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638.6852494721958</v>
      </c>
    </row>
    <row r="29" spans="1:2" x14ac:dyDescent="0.25">
      <c r="A29" s="19" t="s">
        <v>73</v>
      </c>
      <c r="B29" s="12">
        <f>B28/B26-1</f>
        <v>-0.61323915932093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0.109145</v>
      </c>
      <c r="B5" s="31">
        <v>747.7032501240632</v>
      </c>
      <c r="C5" s="31">
        <v>769.7922708473218</v>
      </c>
      <c r="D5" s="31">
        <v>794.4014305665005</v>
      </c>
      <c r="E5" s="31">
        <v>822.0083600218704</v>
      </c>
      <c r="F5" s="31">
        <v>853.2195268922083</v>
      </c>
    </row>
    <row r="6" spans="1:6" x14ac:dyDescent="0.25">
      <c r="A6" s="30">
        <v>0.119145</v>
      </c>
      <c r="B6" s="31">
        <v>673.2859076246823</v>
      </c>
      <c r="C6" s="31">
        <v>689.9177655621241</v>
      </c>
      <c r="D6" s="31">
        <v>708.22613450161</v>
      </c>
      <c r="E6" s="31">
        <v>728.4931128786183</v>
      </c>
      <c r="F6" s="31">
        <v>751.0678496807632</v>
      </c>
    </row>
    <row r="7" spans="1:6" x14ac:dyDescent="0.25">
      <c r="A7" s="30">
        <v>0.129145</v>
      </c>
      <c r="B7" s="31">
        <v>612.0262228141562</v>
      </c>
      <c r="C7" s="31">
        <v>624.782890732795</v>
      </c>
      <c r="D7" s="32">
        <v>638.6861918944637</v>
      </c>
      <c r="E7" s="31">
        <v>653.9096045244435</v>
      </c>
      <c r="F7" s="31">
        <v>670.6634602603639</v>
      </c>
    </row>
    <row r="8" spans="1:6" x14ac:dyDescent="0.25">
      <c r="A8" s="30">
        <v>0.139145</v>
      </c>
      <c r="B8" s="31">
        <v>560.7412018684598</v>
      </c>
      <c r="C8" s="31">
        <v>570.6737601203428</v>
      </c>
      <c r="D8" s="31">
        <v>581.4078610268666</v>
      </c>
      <c r="E8" s="31">
        <v>593.0536620832867</v>
      </c>
      <c r="F8" s="31">
        <v>605.7424754241117</v>
      </c>
    </row>
    <row r="9" spans="1:6" x14ac:dyDescent="0.25">
      <c r="A9" s="30">
        <v>0.149145</v>
      </c>
      <c r="B9" s="31">
        <v>517.1970693503017</v>
      </c>
      <c r="C9" s="31">
        <v>525.0268306972627</v>
      </c>
      <c r="D9" s="31">
        <v>533.4266209274482</v>
      </c>
      <c r="E9" s="31">
        <v>542.4682049764274</v>
      </c>
      <c r="F9" s="31">
        <v>552.235922125657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9101641000</v>
      </c>
      <c r="C5" s="18">
        <v>7027476000</v>
      </c>
      <c r="D5" s="18">
        <v>5206760000</v>
      </c>
      <c r="E5" s="18">
        <v>4140364000</v>
      </c>
      <c r="F5" s="8" t="s">
        <v>84</v>
      </c>
    </row>
    <row r="6" spans="1:6" x14ac:dyDescent="0.25">
      <c r="A6" t="s">
        <v>44</v>
      </c>
      <c r="B6" s="18">
        <v>1312615000</v>
      </c>
      <c r="C6" s="18">
        <v>746339000</v>
      </c>
      <c r="D6" s="18">
        <v>416086000</v>
      </c>
      <c r="E6" s="18">
        <v>252264000</v>
      </c>
      <c r="F6" s="8" t="s">
        <v>85</v>
      </c>
    </row>
    <row r="7" spans="1:6" x14ac:dyDescent="0.25">
      <c r="A7" t="s">
        <v>86</v>
      </c>
      <c r="B7" s="18">
        <v>141959000</v>
      </c>
      <c r="C7" s="18">
        <v>145485000</v>
      </c>
      <c r="D7" s="18">
        <v>81566000</v>
      </c>
      <c r="E7" s="18">
        <v>81347000</v>
      </c>
      <c r="F7" s="8" t="s">
        <v>87</v>
      </c>
    </row>
    <row r="8" spans="1:6" x14ac:dyDescent="0.25">
      <c r="A8" t="s">
        <v>88</v>
      </c>
      <c r="B8" s="18">
        <v>154903000</v>
      </c>
      <c r="C8" s="18">
        <v>111071000</v>
      </c>
      <c r="D8" s="18">
        <v>94838000</v>
      </c>
      <c r="E8" s="18">
        <v>48359000</v>
      </c>
      <c r="F8" s="8" t="s">
        <v>89</v>
      </c>
    </row>
    <row r="9" spans="1:6" x14ac:dyDescent="0.25">
      <c r="A9" t="s">
        <v>90</v>
      </c>
      <c r="B9" s="18">
        <v>67667000</v>
      </c>
      <c r="C9" s="18">
        <v>-107401000</v>
      </c>
      <c r="D9" s="18">
        <v>-73471000</v>
      </c>
      <c r="E9" s="18">
        <v>-29963000</v>
      </c>
      <c r="F9" s="8" t="s">
        <v>91</v>
      </c>
    </row>
    <row r="10" spans="1:6" x14ac:dyDescent="0.25">
      <c r="A10" t="s">
        <v>92</v>
      </c>
      <c r="B10" s="18">
        <v>483358000</v>
      </c>
      <c r="C10" s="18">
        <v>308600000</v>
      </c>
      <c r="D10" s="18">
        <v>256774000</v>
      </c>
      <c r="E10" s="18">
        <v>389140000</v>
      </c>
      <c r="F10" s="8" t="s">
        <v>93</v>
      </c>
    </row>
    <row r="11" spans="1:6" x14ac:dyDescent="0.25">
      <c r="A11" t="s">
        <v>94</v>
      </c>
      <c r="B11" s="18">
        <v>981898000</v>
      </c>
      <c r="C11" s="18">
        <v>549939000</v>
      </c>
      <c r="D11" s="18">
        <v>205150000</v>
      </c>
      <c r="E11" s="18">
        <v>57214000</v>
      </c>
      <c r="F11" s="8" t="s">
        <v>95</v>
      </c>
    </row>
    <row r="12" spans="1:6" x14ac:dyDescent="0.25">
      <c r="A12" t="s">
        <v>32</v>
      </c>
      <c r="B12" s="34">
        <v>35413000</v>
      </c>
      <c r="C12" s="34">
        <v>35775000</v>
      </c>
      <c r="D12" s="34">
        <v>35895000</v>
      </c>
      <c r="E12" s="34">
        <v>36046000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2026-09-19T00:06:21Z</dcterms:modified>
</cp:coreProperties>
</file>