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<sst xmlns="http://schemas.openxmlformats.org/spreadsheetml/2006/main" count="120" uniqueCount="107">
  <si>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Comfort Systems USA, Inc. (FIX)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</si>
  <si>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</si>
  <si>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</si>
  <si>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</si>
  <si>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</si>
  <si>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</si>
  <si>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</si>
  <si>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</si>
  <si>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</si>
  <si>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</si>
  <si>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</si>
  <si>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</si>
  <si>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</si>
  <si>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</si>
  <si>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</si>
  <si>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</si>
  <si>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</si>
  <si>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</si>
  <si>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</si>
  <si>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</si>
  <si>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</si>
  <si>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</si>
  <si>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</si>
  <si>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</si>
  <si>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188.0x interest cover. Book interest / average debt was lower, at 1.8%.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</si>
  <si>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</si>
  <si>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</si>
  <si>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</si>
  <si>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</si>
  <si>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</si>
  <si>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</si>
  <si>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</si>
  <si>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</si>
  <si>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</si>
  <si>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</si>
  <si>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</si>
  <si>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</si>
  <si>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</si>
  <si>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</si>
  <si>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</si>
  <si>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</si>
  <si>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</si>
  <si>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</si>
  <si>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</si>
  <si>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</si>
  <si>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</si>
  <si>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</si>
  <si>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</si>
  <si>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</si>
  <si>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</si>
  <si>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</si>
  <si>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</si>
  <si>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</si>
  <si>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</si>
  <si>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</si>
  <si>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</si>
  <si>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</si>
  <si>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</si>
  <si>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</si>
  <si>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</si>
  <si>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</si>
  <si>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</si>
  <si>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</si>
  <si>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</si>
  <si>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</si>
  <si>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</si>
  <si>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</si>
  <si>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</si>
  <si>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</si>
  <si>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</si>
  <si>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</si>
  <si>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</si>
  <si>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</si>
  <si>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</si>
  <si>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</si>
  <si>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</si>
  <si>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</si>
  <si>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</si>
  <si>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</si>
  <si>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</si>
  <si>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</si>
  <si>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</si>
  <si>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</si>
  <si>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</si>
  <si>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</si>
  <si>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</si>
  <si>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</si>
  <si>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</si>
  <si>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</si>
  <si>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</si>
  <si>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</si>
  <si>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</si>
  <si>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</si>
  <si>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</si>
  <si>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</si>
  <si>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</si>
  <si>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</si>
  <si>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</si>
  <si>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</si>
  <si>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</si>
  <si>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</si>
  <si>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</si>
  <si>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</si>
  <si>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</si>
  <si>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</si>
  <si>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29.5x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</si>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</sst>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0.09781525588168684</v>
      </c>
    </row>
    <row r="8" spans="1:2" x14ac:dyDescent="0.25">
      <c r="A8" t="s">
        <v>5</v>
      </c>
      <c r="B8" s="5">
        <v>0.2094355187239119</v>
      </c>
    </row>
    <row r="9" spans="1:2" x14ac:dyDescent="0.25">
      <c r="A9" t="s">
        <v>6</v>
      </c>
      <c r="B9" s="5">
        <v>0.017903024992087388</v>
      </c>
    </row>
    <row r="10" spans="1:3" x14ac:dyDescent="0.25">
      <c r="A10" t="s">
        <v>7</v>
      </c>
      <c r="B10" s="5">
        <v>0.015679693907340725</v>
      </c>
      <c r="C10" s="6" t="s">
        <v>8</v>
      </c>
    </row>
    <row r="11" spans="1:2" x14ac:dyDescent="0.25">
      <c r="A11" t="s">
        <v>9</v>
      </c>
      <c r="B11" s="5">
        <v>0.1826591121361842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0.29079902449543343</v>
      </c>
      <c r="C14" s="6" t="s">
        <v>13</v>
      </c>
    </row>
    <row r="15" spans="1:3" x14ac:dyDescent="0.25">
      <c r="A15" t="s">
        <v>14</v>
      </c>
      <c r="B15" s="5">
        <v>0.007287012212259188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1.4415300000000002</v>
      </c>
      <c r="C19" s="6" t="s">
        <v>21</v>
      </c>
    </row>
    <row r="20" spans="1:2" x14ac:dyDescent="0.25">
      <c r="A20" t="s">
        <v>22</v>
      </c>
      <c r="B20" s="9">
        <f>B17+B19*B18</f>
        <v>0.10991671900000001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43382640640</v>
      </c>
    </row>
    <row r="23" spans="1:2" x14ac:dyDescent="0.25">
      <c r="A23" t="s">
        <v>26</v>
      </c>
      <c r="B23" s="10">
        <v>483358000</v>
      </c>
    </row>
    <row r="24" spans="1:2" x14ac:dyDescent="0.25">
      <c r="A24" t="s">
        <v>27</v>
      </c>
      <c r="B24" s="9">
        <f>B22/(B22+B23)</f>
        <v>0.9889810328047738</v>
      </c>
    </row>
    <row r="25" spans="1:2" x14ac:dyDescent="0.25">
      <c r="A25" t="s">
        <v>28</v>
      </c>
      <c r="B25" s="9">
        <f>1-B24</f>
        <v>0.011018967195226215</v>
      </c>
    </row>
    <row r="26" spans="1:2" x14ac:dyDescent="0.25">
      <c r="A26" t="s">
        <v>29</v>
      </c>
      <c r="B26" s="11">
        <f>B24*B20+B25*B21*(1-B8)</f>
        <v>0.10916672142338632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9101641000</v>
      </c>
      <c r="C29" s="6" t="s">
        <v>32</v>
      </c>
    </row>
    <row r="30" spans="1:2" x14ac:dyDescent="0.25">
      <c r="A30" t="s">
        <v>33</v>
      </c>
      <c r="B30" s="10">
        <v>-498540000</v>
      </c>
    </row>
    <row r="31" spans="1:2" x14ac:dyDescent="0.25">
      <c r="A31" t="s">
        <v>34</v>
      </c>
      <c r="B31" s="12">
        <v>35413000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0.2667060034413087</v>
      </c>
      <c r="D5" s="5">
        <v>0.23649275301114508</v>
      </c>
      <c r="E5" s="5">
        <v>0.20627950258098152</v>
      </c>
      <c r="F5" s="5">
        <v>0.17606625215081792</v>
      </c>
      <c r="G5" s="5">
        <v>0.14585300172065435</v>
      </c>
      <c r="H5" s="5">
        <v>0.11563975129049076</v>
      </c>
      <c r="I5" s="5">
        <v>0.08542650086032716</v>
      </c>
      <c r="J5" s="5">
        <v>0.05521325043016359</v>
      </c>
      <c r="K5" s="5">
        <v>0.024999999999999994</v>
      </c>
    </row>
    <row r="6" spans="1:11" x14ac:dyDescent="0.25">
      <c r="A6" t="s">
        <v>50</v>
      </c>
      <c r="B6" s="18">
        <f>Assumptions!B29*(1+B5)</f>
        <v>13652461500</v>
      </c>
      <c r="C6" s="18">
        <f>B6*(1+C5)</f>
        <v>17293654943.801334</v>
      </c>
      <c r="D6" s="18">
        <f>C6*(1+D5)</f>
        <v>21383479011.085712</v>
      </c>
      <c r="E6" s="18">
        <f>D6*(1+E5)</f>
        <v>25794452424.943333</v>
      </c>
      <c r="F6" s="18">
        <f>E6*(1+F5)</f>
        <v>30335984989.68568</v>
      </c>
      <c r="G6" s="18">
        <f>F6*(1+G5)</f>
        <v>34760579460.584045</v>
      </c>
      <c r="H6" s="18">
        <f>G6*(1+H5)</f>
        <v>38780284224.11932</v>
      </c>
      <c r="I6" s="18">
        <f>H6*(1+I5)</f>
        <v>42093148207.75478</v>
      </c>
      <c r="J6" s="18">
        <f>I6*(1+J5)</f>
        <v>44417247741.14355</v>
      </c>
      <c r="K6" s="18">
        <f>J6*(1+K5)</f>
        <v>45527678934.672134</v>
      </c>
    </row>
    <row r="7" spans="1:11" x14ac:dyDescent="0.25">
      <c r="A7" t="s">
        <v>4</v>
      </c>
      <c r="B7" s="9">
        <f>Assumptions!B7</f>
        <v>0.09781525588168684</v>
      </c>
      <c r="C7" s="9">
        <f>Assumptions!B7</f>
        <v>0.09781525588168684</v>
      </c>
      <c r="D7" s="9">
        <f>Assumptions!B7</f>
        <v>0.09781525588168684</v>
      </c>
      <c r="E7" s="9">
        <f>Assumptions!B7</f>
        <v>0.09781525588168684</v>
      </c>
      <c r="F7" s="9">
        <f>Assumptions!B7</f>
        <v>0.09781525588168684</v>
      </c>
      <c r="G7" s="9">
        <f>Assumptions!B7</f>
        <v>0.09781525588168684</v>
      </c>
      <c r="H7" s="9">
        <f>Assumptions!B7</f>
        <v>0.09781525588168684</v>
      </c>
      <c r="I7" s="9">
        <f>Assumptions!B7</f>
        <v>0.09781525588168684</v>
      </c>
      <c r="J7" s="9">
        <f>Assumptions!B7</f>
        <v>0.09781525588168684</v>
      </c>
      <c r="K7" s="9">
        <f>Assumptions!B7</f>
        <v>0.09781525588168684</v>
      </c>
    </row>
    <row r="8" spans="1:11" x14ac:dyDescent="0.25">
      <c r="A8" t="s">
        <v>51</v>
      </c>
      <c r="B8" s="18">
        <f>B6*B7</f>
        <v>1335419015.037378</v>
      </c>
      <c r="C8" s="18">
        <f>C6*C7</f>
        <v>1691583283.4575262</v>
      </c>
      <c r="D8" s="18">
        <f>D6*D7</f>
        <v>2091630471.1100287</v>
      </c>
      <c r="E8" s="18">
        <f>E6*E7</f>
        <v>2523090964.2738295</v>
      </c>
      <c r="F8" s="18">
        <f>F6*F7</f>
        <v>2967322134.189116</v>
      </c>
      <c r="G8" s="18">
        <f>G6*G7</f>
        <v>3400114974.5327363</v>
      </c>
      <c r="H8" s="18">
        <f>H6*H7</f>
        <v>3793303424.546775</v>
      </c>
      <c r="I8" s="18">
        <f>I6*I7</f>
        <v>4117352062.807302</v>
      </c>
      <c r="J8" s="18">
        <f>J6*J7</f>
        <v>4344684453.360232</v>
      </c>
      <c r="K8" s="18">
        <f>K6*K7</f>
        <v>4453301564.694239</v>
      </c>
    </row>
    <row r="9" spans="1:11" x14ac:dyDescent="0.25">
      <c r="A9" t="s">
        <v>52</v>
      </c>
      <c r="B9" s="18">
        <f>B8*(1-Assumptions!B8)</f>
        <v>1055734840.9092493</v>
      </c>
      <c r="C9" s="18">
        <f>C8*(1-Assumptions!B8)</f>
        <v>1337305661.0219011</v>
      </c>
      <c r="D9" s="18">
        <f>D8*(1-Assumptions!B8)</f>
        <v>1653568758.4143598</v>
      </c>
      <c r="E9" s="18">
        <f>E8*(1-Assumptions!B8)</f>
        <v>1994666099.3835251</v>
      </c>
      <c r="F9" s="18">
        <f>F8*(1-Assumptions!B8)</f>
        <v>2345859483.7942734</v>
      </c>
      <c r="G9" s="18">
        <f>G8*(1-Assumptions!B8)</f>
        <v>2688010131.1205325</v>
      </c>
      <c r="H9" s="18">
        <f>H8*(1-Assumptions!B8)</f>
        <v>2998850954.1496296</v>
      </c>
      <c r="I9" s="18">
        <f>I8*(1-Assumptions!B8)</f>
        <v>3255032297.764286</v>
      </c>
      <c r="J9" s="18">
        <f>J8*(1-Assumptions!B8)</f>
        <v>3434753211.1790166</v>
      </c>
      <c r="K9" s="18">
        <f>K8*(1-Assumptions!B8)</f>
        <v>3520622041.4584923</v>
      </c>
    </row>
    <row r="10" spans="1:11" x14ac:dyDescent="0.25">
      <c r="A10" t="s">
        <v>53</v>
      </c>
      <c r="B10" s="18">
        <f>B6*Assumptions!B9</f>
        <v>244420359.43801087</v>
      </c>
      <c r="C10" s="18">
        <f>C6*Assumptions!B9</f>
        <v>309608736.6634109</v>
      </c>
      <c r="D10" s="18">
        <f>D6*Assumptions!B9</f>
        <v>382828959.1532436</v>
      </c>
      <c r="E10" s="18">
        <f>E6*Assumptions!B9</f>
        <v>461798726.4209696</v>
      </c>
      <c r="F10" s="18">
        <f>F6*Assumptions!B9</f>
        <v>543105897.4299306</v>
      </c>
      <c r="G10" s="18">
        <f>G6*Assumptions!B9</f>
        <v>622319522.8222758</v>
      </c>
      <c r="H10" s="18">
        <f>H6*Assumptions!B9</f>
        <v>694284397.6646605</v>
      </c>
      <c r="I10" s="18">
        <f>I6*Assumptions!B9</f>
        <v>753594684.3590723</v>
      </c>
      <c r="J10" s="18">
        <f>J6*Assumptions!B9</f>
        <v>795203096.38943</v>
      </c>
      <c r="K10" s="18">
        <f>K6*Assumptions!B9</f>
        <v>815083173.7991657</v>
      </c>
    </row>
    <row r="11" spans="1:11" x14ac:dyDescent="0.25">
      <c r="A11" t="s">
        <v>54</v>
      </c>
      <c r="B11" s="18">
        <f>-B6*B19</f>
        <v>-214066417.4017538</v>
      </c>
      <c r="C11" s="18">
        <f>-C6*C19</f>
        <v>-269193183.4309656</v>
      </c>
      <c r="D11" s="18">
        <f>-D6*D19</f>
        <v>-330424435.3769088</v>
      </c>
      <c r="E11" s="18">
        <f>-E6*E19</f>
        <v>-395651776.0553018</v>
      </c>
      <c r="F11" s="18">
        <f>-F6*F19</f>
        <v>-461863948.8909132</v>
      </c>
      <c r="G11" s="18">
        <f>-G6*G19</f>
        <v>-525276428.7830714</v>
      </c>
      <c r="H11" s="18">
        <f>-H6*H19</f>
        <v>-581610519.9847904</v>
      </c>
      <c r="I11" s="18">
        <f>-I6*I19</f>
        <v>-626510103.5834337</v>
      </c>
      <c r="J11" s="18">
        <f>-J6*J19</f>
        <v>-656052179.1213225</v>
      </c>
      <c r="K11" s="18">
        <f>-K6*K19</f>
        <v>-667277660.298357</v>
      </c>
    </row>
    <row r="12" spans="1:11" x14ac:dyDescent="0.25">
      <c r="A12" t="s">
        <v>55</v>
      </c>
      <c r="B12" s="18">
        <f>-(B6-Assumptions!B29)*Assumptions!B11</f>
        <v>-831248832.0211458</v>
      </c>
      <c r="C12" s="18">
        <f>-(C6-B6)*Assumptions!B11</f>
        <v>-665097161.5608466</v>
      </c>
      <c r="D12" s="18">
        <f>-(D6-C6)*Assumptions!B11</f>
        <v>-747043632.9233621</v>
      </c>
      <c r="E12" s="18">
        <f>-(E6-D6)*Assumptions!B11</f>
        <v>-805704487.4315462</v>
      </c>
      <c r="F12" s="18">
        <f>-(F6-E6)*Assumptions!B11</f>
        <v>-829552306.0134046</v>
      </c>
      <c r="G12" s="18">
        <f>-(G6-F6)*Assumptions!B11</f>
        <v>-808192497.616965</v>
      </c>
      <c r="H12" s="18">
        <f>-(H6-G6)*Assumptions!B11</f>
        <v>-734235703.1569442</v>
      </c>
      <c r="I12" s="18">
        <f>-(I6-H6)*Assumptions!B11</f>
        <v>-605124793.8787954</v>
      </c>
      <c r="J12" s="18">
        <f>-(J6-I6)*Assumptions!B11</f>
        <v>-424517957.2849115</v>
      </c>
      <c r="K12" s="18">
        <f>-(K6-J6)*Assumptions!B11</f>
        <v>-202830375.89825508</v>
      </c>
    </row>
    <row r="13" spans="1:11" x14ac:dyDescent="0.25">
      <c r="A13" s="19" t="s">
        <v>56</v>
      </c>
      <c r="B13" s="20">
        <f>B9+B10+B11+B12</f>
        <v>254839950.9243605</v>
      </c>
      <c r="C13" s="20">
        <f>C9+C10+C11+C12</f>
        <v>712624052.6934998</v>
      </c>
      <c r="D13" s="20">
        <f>D9+D10+D11+D12</f>
        <v>958929649.2673324</v>
      </c>
      <c r="E13" s="20">
        <f>E9+E10+E11+E12</f>
        <v>1255108562.317647</v>
      </c>
      <c r="F13" s="20">
        <f>F9+F10+F11+F12</f>
        <v>1597549126.3198864</v>
      </c>
      <c r="G13" s="20">
        <f>G9+G10+G11+G12</f>
        <v>1976860727.5427716</v>
      </c>
      <c r="H13" s="20">
        <f>H9+H10+H11+H12</f>
        <v>2377289128.6725554</v>
      </c>
      <c r="I13" s="20">
        <f>I9+I10+I11+I12</f>
        <v>2776992084.661129</v>
      </c>
      <c r="J13" s="20">
        <f>J9+J10+J11+J12</f>
        <v>3149386171.1622124</v>
      </c>
      <c r="K13" s="20">
        <f>K9+K10+K11+K12</f>
        <v>3465597179.061046</v>
      </c>
    </row>
    <row r="14" spans="1:11" x14ac:dyDescent="0.25">
      <c r="A14" t="s">
        <v>57</v>
      </c>
      <c r="B14" s="21">
        <f>1/(1+Assumptions!$B$26)^(1-0.5*Assumptions!$B$32)</f>
        <v>0.94951446359353</v>
      </c>
      <c r="C14" s="21">
        <f>1/(1+Assumptions!$B$26)^(2-0.5*Assumptions!$B$32)</f>
        <v>0.856061081939985</v>
      </c>
      <c r="D14" s="21">
        <f>1/(1+Assumptions!$B$26)^(3-0.5*Assumptions!$B$32)</f>
        <v>0.771805595502728</v>
      </c>
      <c r="E14" s="21">
        <f>1/(1+Assumptions!$B$26)^(4-0.5*Assumptions!$B$32)</f>
        <v>0.6958427264318524</v>
      </c>
      <c r="F14" s="21">
        <f>1/(1+Assumptions!$B$26)^(5-0.5*Assumptions!$B$32)</f>
        <v>0.6273562963905751</v>
      </c>
      <c r="G14" s="21">
        <f>1/(1+Assumptions!$B$26)^(6-0.5*Assumptions!$B$32)</f>
        <v>0.5656104571777028</v>
      </c>
      <c r="H14" s="21">
        <f>1/(1+Assumptions!$B$26)^(7-0.5*Assumptions!$B$32)</f>
        <v>0.5099417844522586</v>
      </c>
      <c r="I14" s="21">
        <f>1/(1+Assumptions!$B$26)^(8-0.5*Assumptions!$B$32)</f>
        <v>0.4597521496117858</v>
      </c>
      <c r="J14" s="21">
        <f>1/(1+Assumptions!$B$26)^(9-0.5*Assumptions!$B$32)</f>
        <v>0.4145022932366641</v>
      </c>
      <c r="K14" s="21">
        <f>1/(1+Assumptions!$B$26)^(10-0.5*Assumptions!$B$32)</f>
        <v>0.37370603105071176</v>
      </c>
    </row>
    <row r="15" spans="1:11" x14ac:dyDescent="0.25">
      <c r="A15" s="19" t="s">
        <v>58</v>
      </c>
      <c r="B15" s="20">
        <f>B13*B14</f>
        <v>241974219.30414566</v>
      </c>
      <c r="C15" s="20">
        <f>C13*C14</f>
        <v>610049717.5652543</v>
      </c>
      <c r="D15" s="20">
        <f>D13*D14</f>
        <v>740107268.9979956</v>
      </c>
      <c r="E15" s="20">
        <f>E13*E14</f>
        <v>873358163.971074</v>
      </c>
      <c r="F15" s="20">
        <f>F13*F14</f>
        <v>1002232503.190043</v>
      </c>
      <c r="G15" s="20">
        <f>G13*G14</f>
        <v>1118133099.8821132</v>
      </c>
      <c r="H15" s="20">
        <f>H13*H14</f>
        <v>1212279060.434238</v>
      </c>
      <c r="I15" s="20">
        <f>I13*I14</f>
        <v>1276728080.3778682</v>
      </c>
      <c r="J15" s="20">
        <f>J13*J14</f>
        <v>1305427790.234574</v>
      </c>
      <c r="K15" s="20">
        <f>K13*K14</f>
        <v>1295114567.0074463</v>
      </c>
    </row>
    <row r="17" spans="1:2" x14ac:dyDescent="0.25">
      <c r="A17" s="22" t="s">
        <v>59</v>
      </c>
      <c r="B17" s="23">
        <f>SUM(B15:K15)</f>
        <v>9675404470.964752</v>
      </c>
    </row>
    <row r="19" spans="1:11" x14ac:dyDescent="0.25">
      <c r="A19" t="s">
        <v>7</v>
      </c>
      <c r="B19" s="9">
        <f>Assumptions!$B$10+($B$20-Assumptions!$B$10)*0/9</f>
        <v>0.015679693907340725</v>
      </c>
      <c r="C19" s="9">
        <f>Assumptions!$B$10+($B$20-Assumptions!$B$10)*1/9</f>
        <v>0.015566008706994244</v>
      </c>
      <c r="D19" s="9">
        <f>Assumptions!$B$10+($B$20-Assumptions!$B$10)*2/9</f>
        <v>0.015452323506647762</v>
      </c>
      <c r="E19" s="9">
        <f>Assumptions!$B$10+($B$20-Assumptions!$B$10)*3/9</f>
        <v>0.015338638306301281</v>
      </c>
      <c r="F19" s="9">
        <f>Assumptions!$B$10+($B$20-Assumptions!$B$10)*4/9</f>
        <v>0.0152249531059548</v>
      </c>
      <c r="G19" s="9">
        <f>Assumptions!$B$10+($B$20-Assumptions!$B$10)*5/9</f>
        <v>0.015111267905608319</v>
      </c>
      <c r="H19" s="9">
        <f>Assumptions!$B$10+($B$20-Assumptions!$B$10)*6/9</f>
        <v>0.014997582705261837</v>
      </c>
      <c r="I19" s="9">
        <f>Assumptions!$B$10+($B$20-Assumptions!$B$10)*7/9</f>
        <v>0.014883897504915356</v>
      </c>
      <c r="J19" s="9">
        <f>Assumptions!$B$10+($B$20-Assumptions!$B$10)*8/9</f>
        <v>0.014770212304568875</v>
      </c>
      <c r="K19" s="9">
        <f>Assumptions!$B$10+($B$20-Assumptions!$B$10)*9/9</f>
        <v>0.014656527104222394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0.014656527104222394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3465597179.061046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3902719580.826742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0.08597002704317046</v>
      </c>
    </row>
    <row r="7" spans="1:2" x14ac:dyDescent="0.25">
      <c r="A7" t="s">
        <v>66</v>
      </c>
      <c r="B7" s="18">
        <f>-MAX(B5,0)*B6</f>
        <v>-335516907.9055859</v>
      </c>
    </row>
    <row r="8" spans="1:2" x14ac:dyDescent="0.25">
      <c r="A8" t="s">
        <v>67</v>
      </c>
      <c r="B8" s="18">
        <f>IF(OR(Assumptions!$B$33=0,Assumptions!B12&lt;=0),B5,MAX(B5+B7,0))</f>
        <v>3567202672.9211564</v>
      </c>
    </row>
    <row r="9" spans="1:2" x14ac:dyDescent="0.25">
      <c r="A9" t="s">
        <v>68</v>
      </c>
      <c r="B9" s="18">
        <f>B8*(1+Assumptions!B12)/(Assumptions!B26-Assumptions!B12)</f>
        <v>43442142902.91023</v>
      </c>
    </row>
    <row r="10" spans="1:2" x14ac:dyDescent="0.25">
      <c r="A10" t="s">
        <v>69</v>
      </c>
      <c r="B10" s="18">
        <f>B9/(1+Assumptions!B26)^(10-0.5*Assumptions!B32)</f>
        <v>16234590804.584429</v>
      </c>
    </row>
    <row r="11" spans="1:2" x14ac:dyDescent="0.25">
      <c r="A11" t="s">
        <v>70</v>
      </c>
      <c r="B11" s="18">
        <f>Forecast!B17+B10</f>
        <v>25909995275.54918</v>
      </c>
    </row>
    <row r="12" spans="1:2" x14ac:dyDescent="0.25">
      <c r="A12" t="s">
        <v>71</v>
      </c>
      <c r="B12" s="18">
        <f>-Assumptions!B30</f>
        <v>498540000</v>
      </c>
    </row>
    <row r="13" spans="1:2" x14ac:dyDescent="0.25">
      <c r="A13" t="s">
        <v>72</v>
      </c>
      <c r="B13" s="18">
        <f>B11+B12</f>
        <v>26408535275.54918</v>
      </c>
    </row>
    <row r="14" spans="1:2" x14ac:dyDescent="0.25">
      <c r="A14" s="19" t="s">
        <v>73</v>
      </c>
      <c r="B14" s="24">
        <f>B13/Assumptions!B31</f>
        <v>745.7299657060735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5268384738.493404</v>
      </c>
    </row>
    <row r="18" spans="1:2" x14ac:dyDescent="0.25">
      <c r="A18" t="s">
        <v>68</v>
      </c>
      <c r="B18" s="18">
        <f>B17*Assumptions!B13</f>
        <v>105367694769.86809</v>
      </c>
    </row>
    <row r="19" spans="1:2" x14ac:dyDescent="0.25">
      <c r="A19" t="s">
        <v>69</v>
      </c>
      <c r="B19" s="18">
        <f>B18/(1+Assumptions!B26)^(10-0.5*Assumptions!B32)</f>
        <v>39376543013.41024</v>
      </c>
    </row>
    <row r="20" spans="1:2" x14ac:dyDescent="0.25">
      <c r="A20" t="s">
        <v>70</v>
      </c>
      <c r="B20" s="18">
        <f>Forecast!B17+B19</f>
        <v>49051947484.37499</v>
      </c>
    </row>
    <row r="21" spans="1:2" x14ac:dyDescent="0.25">
      <c r="A21" t="s">
        <v>71</v>
      </c>
      <c r="B21" s="18">
        <f>-Assumptions!B30</f>
        <v>498540000</v>
      </c>
    </row>
    <row r="22" spans="1:2" x14ac:dyDescent="0.25">
      <c r="A22" t="s">
        <v>72</v>
      </c>
      <c r="B22" s="18">
        <f>B20+B21</f>
        <v>49550487484.37499</v>
      </c>
    </row>
    <row r="23" spans="1:2" x14ac:dyDescent="0.25">
      <c r="A23" s="19" t="s">
        <v>73</v>
      </c>
      <c r="B23" s="25">
        <f>B22/Assumptions!B31</f>
        <v>1399.2174479534349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1232.66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745.7299657060735</v>
      </c>
    </row>
    <row r="29" spans="1:2" x14ac:dyDescent="0.25">
      <c r="A29" s="19" t="s">
        <v>81</v>
      </c>
      <c r="B29" s="11">
        <f>B28/B26-1</f>
        <v>-0.39502379755482175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0.089167</v>
      </c>
      <c r="B5" s="31">
        <v>962.9293373610141</v>
      </c>
      <c r="C5" s="31">
        <v>995.4538965567177</v>
      </c>
      <c r="D5" s="31">
        <v>1033.594322286774</v>
      </c>
      <c r="E5" s="31">
        <v>1078.7743473416804</v>
      </c>
      <c r="F5" s="31">
        <v>1132.9433872303755</v>
      </c>
    </row>
    <row r="6" spans="1:6" x14ac:dyDescent="0.25">
      <c r="A6" s="30">
        <v>0.099167</v>
      </c>
      <c r="B6" s="31">
        <v>824.0041715292882</v>
      </c>
      <c r="C6" s="31">
        <v>845.0851834798376</v>
      </c>
      <c r="D6" s="31">
        <v>869.455557926132</v>
      </c>
      <c r="E6" s="31">
        <v>897.8286471522983</v>
      </c>
      <c r="F6" s="31">
        <v>931.1401458565156</v>
      </c>
    </row>
    <row r="7" spans="1:6" x14ac:dyDescent="0.25">
      <c r="A7" s="30">
        <v>0.109167</v>
      </c>
      <c r="B7" s="31">
        <v>715.9941833717493</v>
      </c>
      <c r="C7" s="31">
        <v>729.8512533193666</v>
      </c>
      <c r="D7" s="32">
        <v>745.7269470396061</v>
      </c>
      <c r="E7" s="31">
        <v>764.0037390052827</v>
      </c>
      <c r="F7" s="31">
        <v>785.1672424093466</v>
      </c>
    </row>
    <row r="8" spans="1:6" x14ac:dyDescent="0.25">
      <c r="A8" s="30">
        <v>0.119167</v>
      </c>
      <c r="B8" s="31">
        <v>629.9018458464412</v>
      </c>
      <c r="C8" s="31">
        <v>639.0298958229173</v>
      </c>
      <c r="D8" s="31">
        <v>649.441982183176</v>
      </c>
      <c r="E8" s="31">
        <v>661.3541102403575</v>
      </c>
      <c r="F8" s="31">
        <v>675.0336130995245</v>
      </c>
    </row>
    <row r="9" spans="1:6" x14ac:dyDescent="0.25">
      <c r="A9" s="30">
        <v>0.129167</v>
      </c>
      <c r="B9" s="31">
        <v>559.889366574208</v>
      </c>
      <c r="C9" s="31">
        <v>565.834869123974</v>
      </c>
      <c r="D9" s="31">
        <v>572.6204165175538</v>
      </c>
      <c r="E9" s="31">
        <v>580.3730739344651</v>
      </c>
      <c r="F9" s="31">
        <v>589.2468937534596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9101641000</v>
      </c>
      <c r="C5" s="18">
        <v>7027476000</v>
      </c>
      <c r="D5" s="18">
        <v>5206760000</v>
      </c>
      <c r="E5" s="18">
        <v>4140364000</v>
      </c>
      <c r="F5" s="6" t="s">
        <v>91</v>
      </c>
    </row>
    <row r="6" spans="1:6" x14ac:dyDescent="0.25">
      <c r="A6" t="s">
        <v>51</v>
      </c>
      <c r="B6" s="18">
        <v>1312615000</v>
      </c>
      <c r="C6" s="18">
        <v>746339000</v>
      </c>
      <c r="D6" s="18">
        <v>416086000</v>
      </c>
      <c r="E6" s="18">
        <v>252264000</v>
      </c>
      <c r="F6" s="6" t="s">
        <v>92</v>
      </c>
    </row>
    <row r="7" spans="1:6" x14ac:dyDescent="0.25">
      <c r="A7" t="s">
        <v>93</v>
      </c>
      <c r="B7" s="18">
        <v>141959000</v>
      </c>
      <c r="C7" s="18">
        <v>145485000</v>
      </c>
      <c r="D7" s="18">
        <v>81566000</v>
      </c>
      <c r="E7" s="18">
        <v>81347000</v>
      </c>
      <c r="F7" s="6" t="s">
        <v>94</v>
      </c>
    </row>
    <row r="8" spans="1:6" x14ac:dyDescent="0.25">
      <c r="A8" t="s">
        <v>95</v>
      </c>
      <c r="B8" s="18">
        <v>154903000</v>
      </c>
      <c r="C8" s="18">
        <v>111071000</v>
      </c>
      <c r="D8" s="18">
        <v>94838000</v>
      </c>
      <c r="E8" s="18">
        <v>48359000</v>
      </c>
      <c r="F8" s="6" t="s">
        <v>96</v>
      </c>
    </row>
    <row r="9" spans="1:6" x14ac:dyDescent="0.25">
      <c r="A9" t="s">
        <v>97</v>
      </c>
      <c r="B9" s="18">
        <v>67667000</v>
      </c>
      <c r="C9" s="18">
        <v>-107401000</v>
      </c>
      <c r="D9" s="18">
        <v>-73471000</v>
      </c>
      <c r="E9" s="18">
        <v>-29963000</v>
      </c>
      <c r="F9" s="6" t="s">
        <v>98</v>
      </c>
    </row>
    <row r="10" spans="1:6" x14ac:dyDescent="0.25">
      <c r="A10" t="s">
        <v>99</v>
      </c>
      <c r="B10" s="18">
        <v>483358000</v>
      </c>
      <c r="C10" s="18">
        <v>308600000</v>
      </c>
      <c r="D10" s="18">
        <v>256774000</v>
      </c>
      <c r="E10" s="18">
        <v>389140000</v>
      </c>
      <c r="F10" s="6" t="s">
        <v>100</v>
      </c>
    </row>
    <row r="11" spans="1:6" x14ac:dyDescent="0.25">
      <c r="A11" t="s">
        <v>101</v>
      </c>
      <c r="B11" s="18">
        <v>981898000</v>
      </c>
      <c r="C11" s="18">
        <v>549939000</v>
      </c>
      <c r="D11" s="18">
        <v>205150000</v>
      </c>
      <c r="E11" s="18">
        <v>57214000</v>
      </c>
      <c r="F11" s="6" t="s">
        <v>102</v>
      </c>
    </row>
    <row r="12" spans="1:6" x14ac:dyDescent="0.25">
      <c r="A12" t="s">
        <v>34</v>
      </c>
      <c r="B12" s="34">
        <v>35413000</v>
      </c>
      <c r="C12" s="34">
        <v>35775000</v>
      </c>
      <c r="D12" s="34">
        <v>35895000</v>
      </c>
      <c r="E12" s="34">
        <v>36046000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