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<sst xmlns="http://schemas.openxmlformats.org/spreadsheetml/2006/main" count="120" uniqueCount="107">
  <si>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Flex Ltd. (FLEX)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</si>
  <si>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</si>
  <si>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</si>
  <si>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</si>
  <si>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</si>
  <si>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</si>
  <si>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</si>
  <si>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</si>
  <si>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</si>
  <si>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</si>
  <si>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</si>
  <si>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</si>
  <si>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</si>
  <si>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</si>
  <si>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</si>
  <si>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</si>
  <si>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</si>
  <si>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</si>
  <si>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</si>
  <si>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</si>
  <si>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</si>
  <si>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</si>
  <si>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</si>
  <si>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</si>
  <si>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6.7x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</si>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</sst>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0.2716045077738769</v>
      </c>
    </row>
    <row r="7" spans="1:2" x14ac:dyDescent="0.25">
      <c r="A7" t="s">
        <v>4</v>
      </c>
      <c r="B7" s="5">
        <v>0.04165408497168257</v>
      </c>
    </row>
    <row r="8" spans="1:2" x14ac:dyDescent="0.25">
      <c r="A8" t="s">
        <v>5</v>
      </c>
      <c r="B8" s="5">
        <v>0.18084066471163246</v>
      </c>
    </row>
    <row r="9" spans="1:2" x14ac:dyDescent="0.25">
      <c r="A9" t="s">
        <v>6</v>
      </c>
      <c r="B9" s="5">
        <v>0.019739278600291846</v>
      </c>
    </row>
    <row r="10" spans="1:3" x14ac:dyDescent="0.25">
      <c r="A10" t="s">
        <v>7</v>
      </c>
      <c r="B10" s="5">
        <v>0.02049712075164326</v>
      </c>
      <c r="C10" s="6" t="s">
        <v>8</v>
      </c>
    </row>
    <row r="11" spans="1:2" x14ac:dyDescent="0.25">
      <c r="A11" t="s">
        <v>9</v>
      </c>
      <c r="B11" s="5">
        <v>0.159874736457226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16.854696597014925</v>
      </c>
    </row>
    <row r="14" spans="1:3" x14ac:dyDescent="0.25">
      <c r="A14" t="s">
        <v>12</v>
      </c>
      <c r="B14" s="5">
        <v>0.1020594471593334</v>
      </c>
      <c r="C14" s="6" t="s">
        <v>13</v>
      </c>
    </row>
    <row r="15" spans="1:3" x14ac:dyDescent="0.25">
      <c r="A15" t="s">
        <v>14</v>
      </c>
      <c r="B15" s="5">
        <v>0.016055107731064288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31950940160</v>
      </c>
    </row>
    <row r="23" spans="1:2" x14ac:dyDescent="0.25">
      <c r="A23" t="s">
        <v>26</v>
      </c>
      <c r="B23" s="10">
        <v>4316000000</v>
      </c>
    </row>
    <row r="24" spans="1:2" x14ac:dyDescent="0.25">
      <c r="A24" t="s">
        <v>27</v>
      </c>
      <c r="B24" s="9">
        <f>B22/(B22+B23)</f>
        <v>0.8809935445075056</v>
      </c>
    </row>
    <row r="25" spans="1:2" x14ac:dyDescent="0.25">
      <c r="A25" t="s">
        <v>28</v>
      </c>
      <c r="B25" s="9">
        <f>1-B24</f>
        <v>0.11900645549249445</v>
      </c>
    </row>
    <row r="26" spans="1:2" x14ac:dyDescent="0.25">
      <c r="A26" t="s">
        <v>29</v>
      </c>
      <c r="B26" s="11">
        <f>B24*B20+B25*B21*(1-B8)</f>
        <v>0.08568894795513221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27914000000</v>
      </c>
      <c r="C29" s="6" t="s">
        <v>32</v>
      </c>
    </row>
    <row r="30" spans="1:2" x14ac:dyDescent="0.25">
      <c r="A30" t="s">
        <v>33</v>
      </c>
      <c r="B30" s="10">
        <v>1927000000</v>
      </c>
    </row>
    <row r="31" spans="1:2" x14ac:dyDescent="0.25">
      <c r="A31" t="s">
        <v>34</v>
      </c>
      <c r="B31" s="12">
        <v>378000000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0.2716045077738769</v>
      </c>
      <c r="C5" s="5">
        <v>0.3036398524503914</v>
      </c>
      <c r="D5" s="5">
        <v>0.2688098708940925</v>
      </c>
      <c r="E5" s="5">
        <v>0.23397988933779354</v>
      </c>
      <c r="F5" s="5">
        <v>0.1991499077814946</v>
      </c>
      <c r="G5" s="5">
        <v>0.1643199262251957</v>
      </c>
      <c r="H5" s="5">
        <v>0.1294899446688968</v>
      </c>
      <c r="I5" s="5">
        <v>0.09465996311259786</v>
      </c>
      <c r="J5" s="5">
        <v>0.05982998155629893</v>
      </c>
      <c r="K5" s="5">
        <v>0.025000000000000022</v>
      </c>
    </row>
    <row r="6" spans="1:11" x14ac:dyDescent="0.25">
      <c r="A6" t="s">
        <v>50</v>
      </c>
      <c r="B6" s="18">
        <f>Assumptions!B29*(1+B5)</f>
        <v>35495568230</v>
      </c>
      <c r="C6" s="18">
        <f>B6*(1+C5)</f>
        <v>46273437330</v>
      </c>
      <c r="D6" s="18">
        <f>C6*(1+D5)</f>
        <v>58712194044.50318</v>
      </c>
      <c r="E6" s="18">
        <f>D6*(1+E5)</f>
        <v>72449666709.8151</v>
      </c>
      <c r="F6" s="18">
        <f>E6*(1+F5)</f>
        <v>86878011153.87479</v>
      </c>
      <c r="G6" s="18">
        <f>F6*(1+G5)</f>
        <v>101153799537.27122</v>
      </c>
      <c r="H6" s="18">
        <f>G6*(1+H5)</f>
        <v>114252199442.40115</v>
      </c>
      <c r="I6" s="18">
        <f>H6*(1+I5)</f>
        <v>125067308427.15202</v>
      </c>
      <c r="J6" s="18">
        <f>I6*(1+J5)</f>
        <v>132550083183.64449</v>
      </c>
      <c r="K6" s="18">
        <f>J6*(1+K5)</f>
        <v>135863835263.23558</v>
      </c>
    </row>
    <row r="7" spans="1:11" x14ac:dyDescent="0.25">
      <c r="A7" t="s">
        <v>4</v>
      </c>
      <c r="B7" s="9">
        <f>Assumptions!B7</f>
        <v>0.04165408497168257</v>
      </c>
      <c r="C7" s="9">
        <f>Assumptions!B7</f>
        <v>0.04165408497168257</v>
      </c>
      <c r="D7" s="9">
        <f>Assumptions!B7</f>
        <v>0.04165408497168257</v>
      </c>
      <c r="E7" s="9">
        <f>Assumptions!B7</f>
        <v>0.04165408497168257</v>
      </c>
      <c r="F7" s="9">
        <f>Assumptions!B7</f>
        <v>0.04165408497168257</v>
      </c>
      <c r="G7" s="9">
        <f>Assumptions!B7</f>
        <v>0.04165408497168257</v>
      </c>
      <c r="H7" s="9">
        <f>Assumptions!B7</f>
        <v>0.04165408497168257</v>
      </c>
      <c r="I7" s="9">
        <f>Assumptions!B7</f>
        <v>0.04165408497168257</v>
      </c>
      <c r="J7" s="9">
        <f>Assumptions!B7</f>
        <v>0.04165408497168257</v>
      </c>
      <c r="K7" s="9">
        <f>Assumptions!B7</f>
        <v>0.04165408497168257</v>
      </c>
    </row>
    <row r="8" spans="1:11" x14ac:dyDescent="0.25">
      <c r="A8" t="s">
        <v>51</v>
      </c>
      <c r="B8" s="18">
        <f>B6*B7</f>
        <v>1478535415.1705763</v>
      </c>
      <c r="C8" s="18">
        <f>C6*C7</f>
        <v>1927477690.4756482</v>
      </c>
      <c r="D8" s="18">
        <f>D6*D7</f>
        <v>2445602719.6036506</v>
      </c>
      <c r="E8" s="18">
        <f>E6*E7</f>
        <v>3017824573.3007197</v>
      </c>
      <c r="F8" s="18">
        <f>F6*F7</f>
        <v>3618824058.7742863</v>
      </c>
      <c r="G8" s="18">
        <f>G6*G7</f>
        <v>4213468961.1340404</v>
      </c>
      <c r="H8" s="18">
        <f>H6*H7</f>
        <v>4759070823.775401</v>
      </c>
      <c r="I8" s="18">
        <f>I6*I7</f>
        <v>5209564292.404222</v>
      </c>
      <c r="J8" s="18">
        <f>J6*J7</f>
        <v>5521252427.935121</v>
      </c>
      <c r="K8" s="18">
        <f>K6*K7</f>
        <v>5659283738.633497</v>
      </c>
    </row>
    <row r="9" spans="1:11" x14ac:dyDescent="0.25">
      <c r="A9" t="s">
        <v>52</v>
      </c>
      <c r="B9" s="18">
        <f>B8*(1-Assumptions!B8)</f>
        <v>1211156087.8914397</v>
      </c>
      <c r="C9" s="18">
        <f>C8*(1-Assumptions!B8)</f>
        <v>1578911343.7131896</v>
      </c>
      <c r="D9" s="18">
        <f>D8*(1-Assumptions!B8)</f>
        <v>2003338298.1699502</v>
      </c>
      <c r="E9" s="18">
        <f>E8*(1-Assumptions!B8)</f>
        <v>2472079171.481919</v>
      </c>
      <c r="F9" s="18">
        <f>F8*(1-Assumptions!B8)</f>
        <v>2964393510.5110965</v>
      </c>
      <c r="G9" s="18">
        <f>G8*(1-Assumptions!B8)</f>
        <v>3451502433.4607286</v>
      </c>
      <c r="H9" s="18">
        <f>H8*(1-Assumptions!B8)</f>
        <v>3898437292.594121</v>
      </c>
      <c r="I9" s="18">
        <f>I8*(1-Assumptions!B8)</f>
        <v>4267463222.9078565</v>
      </c>
      <c r="J9" s="18">
        <f>J8*(1-Assumptions!B8)</f>
        <v>4522785468.826618</v>
      </c>
      <c r="K9" s="18">
        <f>K8*(1-Assumptions!B8)</f>
        <v>4635855105.547283</v>
      </c>
    </row>
    <row r="10" spans="1:11" x14ac:dyDescent="0.25">
      <c r="A10" t="s">
        <v>53</v>
      </c>
      <c r="B10" s="18">
        <f>B6*Assumptions!B9</f>
        <v>700656910.3676381</v>
      </c>
      <c r="C10" s="18">
        <f>C6*Assumptions!B9</f>
        <v>913404271.2500149</v>
      </c>
      <c r="D10" s="18">
        <f>D6*Assumptions!B9</f>
        <v>1158936355.478844</v>
      </c>
      <c r="E10" s="18">
        <f>E6*Assumptions!B9</f>
        <v>1430104155.6833296</v>
      </c>
      <c r="F10" s="18">
        <f>F6*Assumptions!B9</f>
        <v>1714909266.405597</v>
      </c>
      <c r="G10" s="18">
        <f>G6*Assumptions!B9</f>
        <v>1996703030.544269</v>
      </c>
      <c r="H10" s="18">
        <f>H6*Assumptions!B9</f>
        <v>2255255995.489665</v>
      </c>
      <c r="I10" s="18">
        <f>I6*Assumptions!B9</f>
        <v>2468738444.832182</v>
      </c>
      <c r="J10" s="18">
        <f>J6*Assumptions!B9</f>
        <v>2616443020.453818</v>
      </c>
      <c r="K10" s="18">
        <f>K6*Assumptions!B9</f>
        <v>2681854095.9651628</v>
      </c>
    </row>
    <row r="11" spans="1:11" x14ac:dyDescent="0.25">
      <c r="A11" t="s">
        <v>54</v>
      </c>
      <c r="B11" s="18">
        <f>-B6*B19</f>
        <v>-727556948.1585022</v>
      </c>
      <c r="C11" s="18">
        <f>-C6*C19</f>
        <v>-972408163.1311998</v>
      </c>
      <c r="D11" s="18">
        <f>-D6*D19</f>
        <v>-1264171220.9136267</v>
      </c>
      <c r="E11" s="18">
        <f>-E6*E19</f>
        <v>-1597438011.446836</v>
      </c>
      <c r="F11" s="18">
        <f>-F6*F19</f>
        <v>-1960507163.7229762</v>
      </c>
      <c r="G11" s="18">
        <f>-G6*G19</f>
        <v>-2334981534.3866386</v>
      </c>
      <c r="H11" s="18">
        <f>-H6*H19</f>
        <v>-2696437571.270367</v>
      </c>
      <c r="I11" s="18">
        <f>-I6*I19</f>
        <v>-3016376007.200226</v>
      </c>
      <c r="J11" s="18">
        <f>-J6*J19</f>
        <v>-3265410109.138215</v>
      </c>
      <c r="K11" s="18">
        <f>-K6*K19</f>
        <v>-3417323852.453515</v>
      </c>
    </row>
    <row r="12" spans="1:11" x14ac:dyDescent="0.25">
      <c r="A12" t="s">
        <v>55</v>
      </c>
      <c r="B12" s="18">
        <f>-(B6-Assumptions!B29)*Assumptions!B11</f>
        <v>-1212101222.7037275</v>
      </c>
      <c r="C12" s="18">
        <f>-(C6-B6)*Assumptions!B11</f>
        <v>-1723108981.9329796</v>
      </c>
      <c r="D12" s="18">
        <f>-(D6-C6)*Assumptions!B11</f>
        <v>-1988642951.5867465</v>
      </c>
      <c r="E12" s="18">
        <f>-(E6-D6)*Assumptions!B11</f>
        <v>-2196274821.955088</v>
      </c>
      <c r="F12" s="18">
        <f>-(F6-E6)*Assumptions!B11</f>
        <v>-2306727765.5081244</v>
      </c>
      <c r="G12" s="18">
        <f>-(G6-F6)*Assumptions!B11</f>
        <v>-2282337905.514634</v>
      </c>
      <c r="H12" s="18">
        <f>-(H6-G6)*Assumptions!B11</f>
        <v>-2094103232.8440013</v>
      </c>
      <c r="I12" s="18">
        <f>-(I6-H6)*Assumptions!B11</f>
        <v>-1729062698.6932223</v>
      </c>
      <c r="J12" s="18">
        <f>-(J6-I6)*Assumptions!B11</f>
        <v>-1196306642.1630158</v>
      </c>
      <c r="K12" s="18">
        <f>-(K6-J6)*Assumptions!B11</f>
        <v>-529785240.4092109</v>
      </c>
    </row>
    <row r="13" spans="1:11" x14ac:dyDescent="0.25">
      <c r="A13" s="19" t="s">
        <v>56</v>
      </c>
      <c r="B13" s="20">
        <f>B9+B10+B11+B12</f>
        <v>-27845172.603152037</v>
      </c>
      <c r="C13" s="20">
        <f>C9+C10+C11+C12</f>
        <v>-203201530.10097504</v>
      </c>
      <c r="D13" s="20">
        <f>D9+D10+D11+D12</f>
        <v>-90539518.85157895</v>
      </c>
      <c r="E13" s="20">
        <f>E9+E10+E11+E12</f>
        <v>108470493.76332426</v>
      </c>
      <c r="F13" s="20">
        <f>F9+F10+F11+F12</f>
        <v>412067847.6855931</v>
      </c>
      <c r="G13" s="20">
        <f>G9+G10+G11+G12</f>
        <v>830886024.1037245</v>
      </c>
      <c r="H13" s="20">
        <f>H9+H10+H11+H12</f>
        <v>1363152483.9694176</v>
      </c>
      <c r="I13" s="20">
        <f>I9+I10+I11+I12</f>
        <v>1990762961.8465898</v>
      </c>
      <c r="J13" s="20">
        <f>J9+J10+J11+J12</f>
        <v>2677511737.9792047</v>
      </c>
      <c r="K13" s="20">
        <f>K9+K10+K11+K12</f>
        <v>3370600108.649719</v>
      </c>
    </row>
    <row r="14" spans="1:11" x14ac:dyDescent="0.25">
      <c r="A14" t="s">
        <v>57</v>
      </c>
      <c r="B14" s="21">
        <f>1/(1+Assumptions!$B$26)^(1-0.5*Assumptions!$B$32)</f>
        <v>0.959726068762987</v>
      </c>
      <c r="C14" s="21">
        <f>1/(1+Assumptions!$B$26)^(2-0.5*Assumptions!$B$32)</f>
        <v>0.8839788510057204</v>
      </c>
      <c r="D14" s="21">
        <f>1/(1+Assumptions!$B$26)^(3-0.5*Assumptions!$B$32)</f>
        <v>0.8142100485324755</v>
      </c>
      <c r="E14" s="21">
        <f>1/(1+Assumptions!$B$26)^(4-0.5*Assumptions!$B$32)</f>
        <v>0.7499478096981825</v>
      </c>
      <c r="F14" s="21">
        <f>1/(1+Assumptions!$B$26)^(5-0.5*Assumptions!$B$32)</f>
        <v>0.6907575241607555</v>
      </c>
      <c r="G14" s="21">
        <f>1/(1+Assumptions!$B$26)^(6-0.5*Assumptions!$B$32)</f>
        <v>0.636238883578745</v>
      </c>
      <c r="H14" s="21">
        <f>1/(1+Assumptions!$B$26)^(7-0.5*Assumptions!$B$32)</f>
        <v>0.5860231742959943</v>
      </c>
      <c r="I14" s="21">
        <f>1/(1+Assumptions!$B$26)^(8-0.5*Assumptions!$B$32)</f>
        <v>0.5397707837035223</v>
      </c>
      <c r="J14" s="21">
        <f>1/(1+Assumptions!$B$26)^(9-0.5*Assumptions!$B$32)</f>
        <v>0.49716890341397235</v>
      </c>
      <c r="K14" s="21">
        <f>1/(1+Assumptions!$B$26)^(10-0.5*Assumptions!$B$32)</f>
        <v>0.45792941371502166</v>
      </c>
    </row>
    <row r="15" spans="1:11" x14ac:dyDescent="0.25">
      <c r="A15" s="19" t="s">
        <v>58</v>
      </c>
      <c r="B15" s="20">
        <f>B13*B14</f>
        <v>-26723738.036449935</v>
      </c>
      <c r="C15" s="20">
        <f>C13*C14</f>
        <v>-179625855.1012642</v>
      </c>
      <c r="D15" s="20">
        <f>D13*D14</f>
        <v>-73718186.03825107</v>
      </c>
      <c r="E15" s="20">
        <f>E13*E14</f>
        <v>81347209.2146854</v>
      </c>
      <c r="F15" s="20">
        <f>F13*F14</f>
        <v>284638966.2535516</v>
      </c>
      <c r="G15" s="20">
        <f>G13*G14</f>
        <v>528641996.3569359</v>
      </c>
      <c r="H15" s="20">
        <f>H13*H14</f>
        <v>798838945.7052275</v>
      </c>
      <c r="I15" s="20">
        <f>I13*I14</f>
        <v>1074555684.083879</v>
      </c>
      <c r="J15" s="20">
        <f>J13*J14</f>
        <v>1331175574.6491604</v>
      </c>
      <c r="K15" s="20">
        <f>K13*K14</f>
        <v>1543496931.6217542</v>
      </c>
    </row>
    <row r="17" spans="1:2" x14ac:dyDescent="0.25">
      <c r="A17" s="22" t="s">
        <v>59</v>
      </c>
      <c r="B17" s="23">
        <f>SUM(B15:K15)</f>
        <v>5362627528.7092285</v>
      </c>
    </row>
    <row r="19" spans="1:11" x14ac:dyDescent="0.25">
      <c r="A19" t="s">
        <v>7</v>
      </c>
      <c r="B19" s="9">
        <f>Assumptions!$B$10+($B$20-Assumptions!$B$10)*0/9</f>
        <v>0.02049712075164326</v>
      </c>
      <c r="C19" s="9">
        <f>Assumptions!$B$10+($B$20-Assumptions!$B$10)*1/9</f>
        <v>0.021014392256975645</v>
      </c>
      <c r="D19" s="9">
        <f>Assumptions!$B$10+($B$20-Assumptions!$B$10)*2/9</f>
        <v>0.021531663762308032</v>
      </c>
      <c r="E19" s="9">
        <f>Assumptions!$B$10+($B$20-Assumptions!$B$10)*3/9</f>
        <v>0.02204893526764042</v>
      </c>
      <c r="F19" s="9">
        <f>Assumptions!$B$10+($B$20-Assumptions!$B$10)*4/9</f>
        <v>0.022566206772972806</v>
      </c>
      <c r="G19" s="9">
        <f>Assumptions!$B$10+($B$20-Assumptions!$B$10)*5/9</f>
        <v>0.023083478278305196</v>
      </c>
      <c r="H19" s="9">
        <f>Assumptions!$B$10+($B$20-Assumptions!$B$10)*6/9</f>
        <v>0.023600749783637583</v>
      </c>
      <c r="I19" s="9">
        <f>Assumptions!$B$10+($B$20-Assumptions!$B$10)*7/9</f>
        <v>0.02411802128896997</v>
      </c>
      <c r="J19" s="9">
        <f>Assumptions!$B$10+($B$20-Assumptions!$B$10)*8/9</f>
        <v>0.024635292794302356</v>
      </c>
      <c r="K19" s="9">
        <f>Assumptions!$B$10+($B$20-Assumptions!$B$10)*9/9</f>
        <v>0.025152564299634743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0.025152564299634743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3370600108.649719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5045881693.466043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0.24495527553632976</v>
      </c>
    </row>
    <row r="7" spans="1:2" x14ac:dyDescent="0.25">
      <c r="A7" t="s">
        <v>66</v>
      </c>
      <c r="B7" s="18">
        <f>-MAX(B5,0)*B6</f>
        <v>-1236015340.546697</v>
      </c>
    </row>
    <row r="8" spans="1:2" x14ac:dyDescent="0.25">
      <c r="A8" t="s">
        <v>67</v>
      </c>
      <c r="B8" s="18">
        <f>IF(OR(Assumptions!$B$33=0,Assumptions!B12&lt;=0),B5,MAX(B5+B7,0))</f>
        <v>3809866352.919347</v>
      </c>
    </row>
    <row r="9" spans="1:2" x14ac:dyDescent="0.25">
      <c r="A9" t="s">
        <v>68</v>
      </c>
      <c r="B9" s="18">
        <f>B8*(1+Assumptions!B12)/(Assumptions!B26-Assumptions!B12)</f>
        <v>64346361954.22945</v>
      </c>
    </row>
    <row r="10" spans="1:2" x14ac:dyDescent="0.25">
      <c r="A10" t="s">
        <v>69</v>
      </c>
      <c r="B10" s="18">
        <f>B9/(1+Assumptions!B26)^(10-0.5*Assumptions!B32)</f>
        <v>29466091804.394867</v>
      </c>
    </row>
    <row r="11" spans="1:2" x14ac:dyDescent="0.25">
      <c r="A11" t="s">
        <v>70</v>
      </c>
      <c r="B11" s="18">
        <f>Forecast!B17+B10</f>
        <v>34828719333.104095</v>
      </c>
    </row>
    <row r="12" spans="1:2" x14ac:dyDescent="0.25">
      <c r="A12" t="s">
        <v>71</v>
      </c>
      <c r="B12" s="18">
        <f>-Assumptions!B30</f>
        <v>-1927000000</v>
      </c>
    </row>
    <row r="13" spans="1:2" x14ac:dyDescent="0.25">
      <c r="A13" t="s">
        <v>72</v>
      </c>
      <c r="B13" s="18">
        <f>B11+B12</f>
        <v>32901719333.104095</v>
      </c>
    </row>
    <row r="14" spans="1:2" x14ac:dyDescent="0.25">
      <c r="A14" s="19" t="s">
        <v>73</v>
      </c>
      <c r="B14" s="24">
        <f>B13/Assumptions!B31</f>
        <v>87.04158553731243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8341137834.5986595</v>
      </c>
    </row>
    <row r="18" spans="1:2" x14ac:dyDescent="0.25">
      <c r="A18" t="s">
        <v>68</v>
      </c>
      <c r="B18" s="18">
        <f>B17*Assumptions!B13</f>
        <v>140587347476.04248</v>
      </c>
    </row>
    <row r="19" spans="1:2" x14ac:dyDescent="0.25">
      <c r="A19" t="s">
        <v>69</v>
      </c>
      <c r="B19" s="18">
        <f>B18/(1+Assumptions!B26)^(10-0.5*Assumptions!B32)</f>
        <v>64379081605.45416</v>
      </c>
    </row>
    <row r="20" spans="1:2" x14ac:dyDescent="0.25">
      <c r="A20" t="s">
        <v>70</v>
      </c>
      <c r="B20" s="18">
        <f>Forecast!B17+B19</f>
        <v>69741709134.16339</v>
      </c>
    </row>
    <row r="21" spans="1:2" x14ac:dyDescent="0.25">
      <c r="A21" t="s">
        <v>71</v>
      </c>
      <c r="B21" s="18">
        <f>-Assumptions!B30</f>
        <v>-1927000000</v>
      </c>
    </row>
    <row r="22" spans="1:2" x14ac:dyDescent="0.25">
      <c r="A22" t="s">
        <v>72</v>
      </c>
      <c r="B22" s="18">
        <f>B20+B21</f>
        <v>67814709134.16339</v>
      </c>
    </row>
    <row r="23" spans="1:2" x14ac:dyDescent="0.25">
      <c r="A23" s="19" t="s">
        <v>73</v>
      </c>
      <c r="B23" s="25">
        <f>B22/Assumptions!B31</f>
        <v>179.40399241842167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86.48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87.04158553731243</v>
      </c>
    </row>
    <row r="29" spans="1:2" x14ac:dyDescent="0.25">
      <c r="A29" s="19" t="s">
        <v>81</v>
      </c>
      <c r="B29" s="11">
        <f>B28/B26-1</f>
        <v>0.006493819811660861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0.065689</v>
      </c>
      <c r="B5" s="31">
        <v>139.41129317955378</v>
      </c>
      <c r="C5" s="31">
        <v>144.02906438198502</v>
      </c>
      <c r="D5" s="31">
        <v>150.11660497628574</v>
      </c>
      <c r="E5" s="31">
        <v>158.2916554673187</v>
      </c>
      <c r="F5" s="31">
        <v>169.5745374182165</v>
      </c>
    </row>
    <row r="6" spans="1:6" x14ac:dyDescent="0.25">
      <c r="A6" s="30">
        <v>0.075689</v>
      </c>
      <c r="B6" s="31">
        <v>108.63202981310793</v>
      </c>
      <c r="C6" s="31">
        <v>110.09292819402228</v>
      </c>
      <c r="D6" s="31">
        <v>112.09526521019095</v>
      </c>
      <c r="E6" s="31">
        <v>114.81679873613109</v>
      </c>
      <c r="F6" s="31">
        <v>118.52266056782122</v>
      </c>
    </row>
    <row r="7" spans="1:6" x14ac:dyDescent="0.25">
      <c r="A7" s="30">
        <v>0.085689</v>
      </c>
      <c r="B7" s="31">
        <v>86.98054616364249</v>
      </c>
      <c r="C7" s="31">
        <v>86.91657499271342</v>
      </c>
      <c r="D7" s="32">
        <v>87.04147770481707</v>
      </c>
      <c r="E7" s="31">
        <v>87.40612804962556</v>
      </c>
      <c r="F7" s="31">
        <v>88.08147267218163</v>
      </c>
    </row>
    <row r="8" spans="1:6" x14ac:dyDescent="0.25">
      <c r="A8" s="30">
        <v>0.095689</v>
      </c>
      <c r="B8" s="31">
        <v>71.03291835500704</v>
      </c>
      <c r="C8" s="31">
        <v>70.20463938386041</v>
      </c>
      <c r="D8" s="31">
        <v>69.42074078817137</v>
      </c>
      <c r="E8" s="31">
        <v>68.69135677049847</v>
      </c>
      <c r="F8" s="31">
        <v>68.02996124984243</v>
      </c>
    </row>
    <row r="9" spans="1:6" x14ac:dyDescent="0.25">
      <c r="A9" s="30">
        <v>0.105689</v>
      </c>
      <c r="B9" s="31">
        <v>59.305299641668874</v>
      </c>
      <c r="C9" s="31">
        <v>58.263838789783144</v>
      </c>
      <c r="D9" s="31">
        <v>57.222377937897406</v>
      </c>
      <c r="E9" s="31">
        <v>56.180917086011696</v>
      </c>
      <c r="F9" s="31">
        <v>55.139456234125944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27914000000</v>
      </c>
      <c r="C5" s="18">
        <v>25813000000</v>
      </c>
      <c r="D5" s="18">
        <v>26415000000</v>
      </c>
      <c r="E5" s="18">
        <v>28502000000</v>
      </c>
      <c r="F5" s="6" t="s">
        <v>91</v>
      </c>
    </row>
    <row r="6" spans="1:6" x14ac:dyDescent="0.25">
      <c r="A6" t="s">
        <v>51</v>
      </c>
      <c r="B6" s="18">
        <v>1447000000</v>
      </c>
      <c r="C6" s="18">
        <v>1185000000</v>
      </c>
      <c r="D6" s="18">
        <v>873000000</v>
      </c>
      <c r="E6" s="18">
        <v>1021000000</v>
      </c>
      <c r="F6" s="6" t="s">
        <v>92</v>
      </c>
    </row>
    <row r="7" spans="1:6" x14ac:dyDescent="0.25">
      <c r="A7" t="s">
        <v>93</v>
      </c>
      <c r="B7" s="18">
        <v>563000000</v>
      </c>
      <c r="C7" s="18">
        <v>539000000</v>
      </c>
      <c r="D7" s="18">
        <v>537000000</v>
      </c>
      <c r="E7" s="18">
        <v>501000000</v>
      </c>
      <c r="F7" s="6" t="s">
        <v>94</v>
      </c>
    </row>
    <row r="8" spans="1:6" x14ac:dyDescent="0.25">
      <c r="A8" t="s">
        <v>95</v>
      </c>
      <c r="B8" s="18">
        <v>633000000</v>
      </c>
      <c r="C8" s="18">
        <v>438000000</v>
      </c>
      <c r="D8" s="18">
        <v>530000000</v>
      </c>
      <c r="E8" s="18">
        <v>635000000</v>
      </c>
      <c r="F8" s="6" t="s">
        <v>96</v>
      </c>
    </row>
    <row r="9" spans="1:6" x14ac:dyDescent="0.25">
      <c r="A9" t="s">
        <v>97</v>
      </c>
      <c r="B9" s="18">
        <v>129000000</v>
      </c>
      <c r="C9" s="18">
        <v>165000000</v>
      </c>
      <c r="D9" s="18">
        <v>251000000</v>
      </c>
      <c r="E9" s="18">
        <v>615000000</v>
      </c>
      <c r="F9" s="6" t="s">
        <v>98</v>
      </c>
    </row>
    <row r="10" spans="1:6" x14ac:dyDescent="0.25">
      <c r="A10" t="s">
        <v>99</v>
      </c>
      <c r="B10" s="18">
        <v>4316000000</v>
      </c>
      <c r="C10" s="18">
        <v>4148000000</v>
      </c>
      <c r="D10" s="18">
        <v>3751000000</v>
      </c>
      <c r="E10" s="18">
        <v>4198000000</v>
      </c>
      <c r="F10" s="6" t="s">
        <v>100</v>
      </c>
    </row>
    <row r="11" spans="1:6" x14ac:dyDescent="0.25">
      <c r="A11" t="s">
        <v>101</v>
      </c>
      <c r="B11" s="18">
        <v>2389000000</v>
      </c>
      <c r="C11" s="18">
        <v>2289000000</v>
      </c>
      <c r="D11" s="18">
        <v>2474000000</v>
      </c>
      <c r="E11" s="18">
        <v>3164000000</v>
      </c>
      <c r="F11" s="6" t="s">
        <v>102</v>
      </c>
    </row>
    <row r="12" spans="1:6" x14ac:dyDescent="0.25">
      <c r="A12" t="s">
        <v>34</v>
      </c>
      <c r="B12" s="34">
        <v>378000000</v>
      </c>
      <c r="C12" s="34">
        <v>398000000</v>
      </c>
      <c r="D12" s="34">
        <v>441000000</v>
      </c>
      <c r="E12" s="34">
        <v>462000000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