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<sst xmlns="http://schemas.openxmlformats.org/spreadsheetml/2006/main" count="112" uniqueCount="100">
  <si>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Flight Centre Travel Group Limited (FLT.AX)</t>
  </si>
  <si>
    <t>DCF Studio - Base case</t>
  </si>
  <si>
    <t>Blue figures on a cream fill are inputs. Every other figure is a formula - change an input and the model reprices. Currency figures are AUD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</si>
  <si>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</si>
  <si>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</si>
  <si>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</si>
  <si>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</si>
  <si>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</si>
  <si>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</si>
  <si>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</si>
  <si>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</si>
  <si>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</si>
  <si>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</si>
  <si>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</si>
  <si>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</si>
  <si>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</si>
  <si>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Australian Government 10-year (RBA F2)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</si>
  <si>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</si>
  <si>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</si>
  <si>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</si>
  <si>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</si>
  <si>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</si>
  <si>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</si>
  <si>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(AUD m)</t>
  </si>
  <si>
    <t>Total debt (AUD m)</t>
  </si>
  <si>
    <t>Equity weight</t>
  </si>
  <si>
    <t>Debt weight</t>
  </si>
  <si>
    <t>WACC</t>
  </si>
  <si>
    <t>Base year</t>
  </si>
  <si>
    <t>Revenue, last reported year (AUD m)</t>
  </si>
  <si>
    <t>Fiscal year ended 2026-06-30</t>
  </si>
  <si>
    <t>Net debt (AUD m)</t>
  </si>
  <si>
    <t>Diluted shares</t>
  </si>
  <si>
    <t>Mid-year discounting (1 = yes, 0 = no)</t>
  </si>
  <si>
    <t>Terminal year on a steady-state footing (1 = yes, 0 = no)</t>
  </si>
  <si>
    <t>Forecast cashflows (AUD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</si>
  <si>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</si>
  <si>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</si>
  <si>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</si>
  <si>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</si>
  <si>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</si>
  <si>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</si>
  <si>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</si>
  <si>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</si>
  <si>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</si>
  <si>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</si>
  <si>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</si>
  <si>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</si>
  <si>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</si>
  <si>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</si>
  <si>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</si>
  <si>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</si>
  <si>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</si>
  <si>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(AUD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</si>
  <si>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</si>
  <si>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</si>
  <si>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</si>
  <si>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</si>
  <si>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</si>
  <si>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</si>
  <si>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</si>
  <si>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</si>
  <si>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</si>
  <si>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</si>
  <si>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</si>
  <si>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</si>
  <si>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</si>
  <si>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</si>
  <si>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</si>
  <si>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(AUD)</t>
  </si>
  <si>
    <t>Conversion, AUD to AUD</t>
  </si>
  <si>
    <t>Same currency, no conversion</t>
  </si>
  <si>
    <t>Value per share (AUD)</t>
  </si>
  <si>
    <t>Implied upside</t>
  </si>
  <si>
    <t>Value per share (AUD)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</si>
  <si>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</si>
  <si>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(AUD m, except shares)</t>
  </si>
  <si>
    <t>What the model was built from. "derived" means the figure was not reported and was computed - the note says how.</t>
  </si>
  <si>
    <t>Fiscal year end</t>
  </si>
  <si>
    <t>2026-06-30</t>
  </si>
  <si>
    <t>2025-06-30</t>
  </si>
  <si>
    <t>2024-06-30</t>
  </si>
  <si>
    <t>2023-06-30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</si>
  <si>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</si>
  <si>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</si>
  <si>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</si>
  <si>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</si>
  <si>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</si>
  <si>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</si>
  <si>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</si>
  <si>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</si>
  <si>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derived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</si>
  <si>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</si>
  <si>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</si>
  <si>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</si>
  <si>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</si>
  <si>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</si>
  <si>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</si>
  <si>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Some line items were not reported and have been derived. Each one is labelled in the workings below.</t>
  </si>
  <si>
    <t>Data: Yahoo Finance. Risk-free rate: Australian Government 10-year (RBA F2).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</si>
</sst>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0.07770623879765881</v>
      </c>
    </row>
    <row r="7" spans="1:2" x14ac:dyDescent="0.25">
      <c r="A7" t="s">
        <v>5</v>
      </c>
      <c r="B7" s="6">
        <v>0.07276684238103617</v>
      </c>
    </row>
    <row r="8" spans="1:2" x14ac:dyDescent="0.25">
      <c r="A8" t="s">
        <v>6</v>
      </c>
      <c r="B8" s="6">
        <v>0.3</v>
      </c>
    </row>
    <row r="9" spans="1:2" x14ac:dyDescent="0.25">
      <c r="A9" t="s">
        <v>7</v>
      </c>
      <c r="B9" s="6">
        <v>0.05781437573514676</v>
      </c>
    </row>
    <row r="10" spans="1:2" x14ac:dyDescent="0.25">
      <c r="A10" t="s">
        <v>8</v>
      </c>
      <c r="B10" s="6">
        <v>0.03641123992286799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7.0585084560558276</v>
      </c>
    </row>
    <row r="14" spans="1:3" x14ac:dyDescent="0.25">
      <c r="A14" t="s">
        <v>12</v>
      </c>
      <c r="B14" s="6">
        <v>0.07789436167480653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0.05348</v>
      </c>
      <c r="C17" s="8" t="s">
        <v>16</v>
      </c>
    </row>
    <row r="18" spans="1:2" x14ac:dyDescent="0.25">
      <c r="A18" t="s">
        <v>17</v>
      </c>
      <c r="B18" s="6">
        <v>0.06</v>
      </c>
    </row>
    <row r="19" spans="1:3" x14ac:dyDescent="0.25">
      <c r="A19" t="s">
        <v>18</v>
      </c>
      <c r="B19" s="9">
        <v>0.73937</v>
      </c>
      <c r="C19" s="8" t="s">
        <v>19</v>
      </c>
    </row>
    <row r="20" spans="1:2" x14ac:dyDescent="0.25">
      <c r="A20" t="s">
        <v>20</v>
      </c>
      <c r="B20" s="10">
        <f>B17+B19*B18</f>
        <v>0.09784219999999999</v>
      </c>
    </row>
    <row r="21" spans="1:3" x14ac:dyDescent="0.25">
      <c r="A21" t="s">
        <v>21</v>
      </c>
      <c r="B21" s="6">
        <v>0.05985091778297424</v>
      </c>
      <c r="C21" s="8" t="s">
        <v>22</v>
      </c>
    </row>
    <row r="22" spans="1:2" x14ac:dyDescent="0.25">
      <c r="A22" t="s">
        <v>23</v>
      </c>
      <c r="B22" s="11">
        <v>2148208640</v>
      </c>
    </row>
    <row r="23" spans="1:2" x14ac:dyDescent="0.25">
      <c r="A23" t="s">
        <v>24</v>
      </c>
      <c r="B23" s="11">
        <v>1234854000</v>
      </c>
    </row>
    <row r="24" spans="1:2" x14ac:dyDescent="0.25">
      <c r="A24" t="s">
        <v>25</v>
      </c>
      <c r="B24" s="10">
        <f>B22/(B22+B23)</f>
        <v>0.6349893184360311</v>
      </c>
    </row>
    <row r="25" spans="1:2" x14ac:dyDescent="0.25">
      <c r="A25" t="s">
        <v>26</v>
      </c>
      <c r="B25" s="10">
        <f>1-B24</f>
        <v>0.3650106815639689</v>
      </c>
    </row>
    <row r="26" spans="1:2" x14ac:dyDescent="0.25">
      <c r="A26" t="s">
        <v>27</v>
      </c>
      <c r="B26" s="12">
        <f>B24*B20+B25*B21*(1-B8)</f>
        <v>0.07742110889681658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2854861000</v>
      </c>
      <c r="C29" s="8" t="s">
        <v>30</v>
      </c>
    </row>
    <row r="30" spans="1:2" x14ac:dyDescent="0.25">
      <c r="A30" t="s">
        <v>31</v>
      </c>
      <c r="B30" s="11">
        <v>409816000</v>
      </c>
    </row>
    <row r="31" spans="1:2" x14ac:dyDescent="0.25">
      <c r="A31" t="s">
        <v>32</v>
      </c>
      <c r="B31" s="13">
        <v>214638849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0.07770623879765881</v>
      </c>
      <c r="C5" s="10">
        <f>Assumptions!B6</f>
        <v>0.07770623879765881</v>
      </c>
      <c r="D5" s="10">
        <f>Assumptions!B6</f>
        <v>0.07770623879765881</v>
      </c>
      <c r="E5" s="10">
        <f>Assumptions!B6</f>
        <v>0.07770623879765881</v>
      </c>
      <c r="F5" s="10">
        <f>Assumptions!B6</f>
        <v>0.07770623879765881</v>
      </c>
    </row>
    <row r="6" spans="1:6" x14ac:dyDescent="0.25">
      <c r="A6" t="s">
        <v>43</v>
      </c>
      <c r="B6" s="18">
        <f>Assumptions!B29*(1+B5)</f>
        <v>3076701510.600123</v>
      </c>
      <c r="C6" s="18">
        <f>B6*(1+C5)</f>
        <v>3315780412.8919334</v>
      </c>
      <c r="D6" s="18">
        <f>C6*(1+D5)</f>
        <v>3573437237.4567137</v>
      </c>
      <c r="E6" s="18">
        <f>D6*(1+E5)</f>
        <v>3851115604.758971</v>
      </c>
      <c r="F6" s="18">
        <f>E6*(1+F5)</f>
        <v>4150371313.579762</v>
      </c>
    </row>
    <row r="7" spans="1:6" x14ac:dyDescent="0.25">
      <c r="A7" t="s">
        <v>5</v>
      </c>
      <c r="B7" s="10">
        <f>Assumptions!B7</f>
        <v>0.07276684238103617</v>
      </c>
      <c r="C7" s="10">
        <f>Assumptions!B7</f>
        <v>0.07276684238103617</v>
      </c>
      <c r="D7" s="10">
        <f>Assumptions!B7</f>
        <v>0.07276684238103617</v>
      </c>
      <c r="E7" s="10">
        <f>Assumptions!B7</f>
        <v>0.07276684238103617</v>
      </c>
      <c r="F7" s="10">
        <f>Assumptions!B7</f>
        <v>0.07276684238103617</v>
      </c>
    </row>
    <row r="8" spans="1:6" x14ac:dyDescent="0.25">
      <c r="A8" t="s">
        <v>44</v>
      </c>
      <c r="B8" s="18">
        <f>B6*B7</f>
        <v>223881853.87533504</v>
      </c>
      <c r="C8" s="18">
        <f>C6*C7</f>
        <v>241278870.67503437</v>
      </c>
      <c r="D8" s="18">
        <f>D6*D7</f>
        <v>260027744.216538</v>
      </c>
      <c r="E8" s="18">
        <f>E6*E7</f>
        <v>280233522.2026449</v>
      </c>
      <c r="F8" s="18">
        <f>F6*F7</f>
        <v>302009415.1980326</v>
      </c>
    </row>
    <row r="9" spans="1:6" x14ac:dyDescent="0.25">
      <c r="A9" t="s">
        <v>45</v>
      </c>
      <c r="B9" s="18">
        <f>B8*(1-Assumptions!B8)</f>
        <v>156717297.71273452</v>
      </c>
      <c r="C9" s="18">
        <f>C8*(1-Assumptions!B8)</f>
        <v>168895209.47252405</v>
      </c>
      <c r="D9" s="18">
        <f>D8*(1-Assumptions!B8)</f>
        <v>182019420.9515766</v>
      </c>
      <c r="E9" s="18">
        <f>E8*(1-Assumptions!B8)</f>
        <v>196163465.5418514</v>
      </c>
      <c r="F9" s="18">
        <f>F8*(1-Assumptions!B8)</f>
        <v>211406590.63862282</v>
      </c>
    </row>
    <row r="10" spans="1:6" x14ac:dyDescent="0.25">
      <c r="A10" t="s">
        <v>46</v>
      </c>
      <c r="B10" s="18">
        <f>B6*Assumptions!B9</f>
        <v>177877577.1587291</v>
      </c>
      <c r="C10" s="18">
        <f>C6*Assumptions!B9</f>
        <v>191699774.64617428</v>
      </c>
      <c r="D10" s="18">
        <f>D6*Assumptions!B9</f>
        <v>206596043.11228728</v>
      </c>
      <c r="E10" s="18">
        <f>E6*Assumptions!B9</f>
        <v>222649844.5730221</v>
      </c>
      <c r="F10" s="18">
        <f>F6*Assumptions!B9</f>
        <v>239951126.56367496</v>
      </c>
    </row>
    <row r="11" spans="1:6" x14ac:dyDescent="0.25">
      <c r="A11" t="s">
        <v>47</v>
      </c>
      <c r="B11" s="18">
        <f>-B6*Assumptions!B10</f>
        <v>-112026516.87351145</v>
      </c>
      <c r="C11" s="18">
        <f>-C6*Assumptions!B10</f>
        <v>-120731676.14535446</v>
      </c>
      <c r="D11" s="18">
        <f>-D6*Assumptions!B10</f>
        <v>-130113280.60234699</v>
      </c>
      <c r="E11" s="18">
        <f>-E6*Assumptions!B10</f>
        <v>-140223894.25557974</v>
      </c>
      <c r="F11" s="18">
        <f>-F6*Assumptions!B10</f>
        <v>-151120165.66774148</v>
      </c>
    </row>
    <row r="12" spans="1:6" x14ac:dyDescent="0.25">
      <c r="A12" t="s">
        <v>48</v>
      </c>
      <c r="B12" s="18">
        <f>-(B6-Assumptions!B29)*Assumptions!B11</f>
        <v>-221840510.60012293</v>
      </c>
      <c r="C12" s="18">
        <f>-(C6-B6)*Assumptions!B11</f>
        <v>-239078902.2918105</v>
      </c>
      <c r="D12" s="18">
        <f>-(D6-C6)*Assumptions!B11</f>
        <v>-257656824.56478024</v>
      </c>
      <c r="E12" s="18">
        <f>-(E6-D6)*Assumptions!B11</f>
        <v>-277678367.30225754</v>
      </c>
      <c r="F12" s="18">
        <f>-(F6-E6)*Assumptions!B11</f>
        <v>-299255708.82079077</v>
      </c>
    </row>
    <row r="13" spans="1:6" x14ac:dyDescent="0.25">
      <c r="A13" s="19" t="s">
        <v>49</v>
      </c>
      <c r="B13" s="20">
        <f>B9+B10+B11+B12</f>
        <v>727847.3978292942</v>
      </c>
      <c r="C13" s="20">
        <f>C9+C10+C11+C12</f>
        <v>784405.6815333962</v>
      </c>
      <c r="D13" s="20">
        <f>D9+D10+D11+D12</f>
        <v>845358.8967366517</v>
      </c>
      <c r="E13" s="20">
        <f>E9+E10+E11+E12</f>
        <v>911048.5570362806</v>
      </c>
      <c r="F13" s="20">
        <f>F9+F10+F11+F12</f>
        <v>981842.7137655616</v>
      </c>
    </row>
    <row r="14" spans="1:6" x14ac:dyDescent="0.25">
      <c r="A14" t="s">
        <v>50</v>
      </c>
      <c r="B14" s="21">
        <f>1/(1+Assumptions!$B$26)^(1-0.5*Assumptions!$B$32)</f>
        <v>0.9634013709470401</v>
      </c>
      <c r="C14" s="21">
        <f>1/(1+Assumptions!$B$26)^(2-0.5*Assumptions!$B$32)</f>
        <v>0.89417346939998</v>
      </c>
      <c r="D14" s="21">
        <f>1/(1+Assumptions!$B$26)^(3-0.5*Assumptions!$B$32)</f>
        <v>0.8299201324499146</v>
      </c>
      <c r="E14" s="21">
        <f>1/(1+Assumptions!$B$26)^(4-0.5*Assumptions!$B$32)</f>
        <v>0.7702838988366201</v>
      </c>
      <c r="F14" s="21">
        <f>1/(1+Assumptions!$B$26)^(5-0.5*Assumptions!$B$32)</f>
        <v>0.714932993679066</v>
      </c>
    </row>
    <row r="15" spans="1:6" x14ac:dyDescent="0.25">
      <c r="A15" s="19" t="s">
        <v>51</v>
      </c>
      <c r="B15" s="20">
        <f>B13*B14</f>
        <v>701209.1809089778</v>
      </c>
      <c r="C15" s="20">
        <f>C13*C14</f>
        <v>701394.7496737727</v>
      </c>
      <c r="D15" s="20">
        <f>D13*D14</f>
        <v>701580.3675473956</v>
      </c>
      <c r="E15" s="20">
        <f>E13*E14</f>
        <v>701766.034543383</v>
      </c>
      <c r="F15" s="20">
        <f>F13*F14</f>
        <v>701951.7506743913</v>
      </c>
    </row>
    <row r="17" spans="1:2" x14ac:dyDescent="0.25">
      <c r="A17" s="22" t="s">
        <v>52</v>
      </c>
      <c r="B17" s="23">
        <f>SUM(B15:F15)</f>
        <v>3507902.0833479203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981842.7137655616</v>
      </c>
    </row>
    <row r="5" spans="1:2" x14ac:dyDescent="0.25">
      <c r="A5" t="s">
        <v>56</v>
      </c>
      <c r="B5" s="18">
        <f>IF(Assumptions!$B$33=0,B4,B4-Forecast!F11-Forecast!F10-Forecast!F12)</f>
        <v>211406590.63862282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0.32094749173720727</v>
      </c>
    </row>
    <row r="7" spans="1:2" x14ac:dyDescent="0.25">
      <c r="A7" t="s">
        <v>58</v>
      </c>
      <c r="B7" s="18">
        <f>-MAX(Forecast!F9,0)*B6</f>
        <v>-67850415.00218056</v>
      </c>
    </row>
    <row r="8" spans="1:2" x14ac:dyDescent="0.25">
      <c r="A8" t="s">
        <v>59</v>
      </c>
      <c r="B8" s="18">
        <f>IF(OR(Assumptions!$B$33=0,Assumptions!B12&lt;=0),B5,MAX(B5+B7,0))</f>
        <v>143556175.63644224</v>
      </c>
    </row>
    <row r="9" spans="1:2" x14ac:dyDescent="0.25">
      <c r="A9" t="s">
        <v>60</v>
      </c>
      <c r="B9" s="18">
        <f>B8*(1+Assumptions!B12)/(Assumptions!B26-Assumptions!B12)</f>
        <v>2806981445.52774</v>
      </c>
    </row>
    <row r="10" spans="1:2" x14ac:dyDescent="0.25">
      <c r="A10" t="s">
        <v>61</v>
      </c>
      <c r="B10" s="18">
        <f>B9/(1+Assumptions!B26)^(5-0.5*Assumptions!B32)</f>
        <v>2006803648.0527394</v>
      </c>
    </row>
    <row r="11" spans="1:2" x14ac:dyDescent="0.25">
      <c r="A11" t="s">
        <v>62</v>
      </c>
      <c r="B11" s="18">
        <f>Forecast!B17+B10</f>
        <v>2010311550.1360874</v>
      </c>
    </row>
    <row r="12" spans="1:2" x14ac:dyDescent="0.25">
      <c r="A12" t="s">
        <v>63</v>
      </c>
      <c r="B12" s="18">
        <f>-Assumptions!B30</f>
        <v>-409816000</v>
      </c>
    </row>
    <row r="13" spans="1:2" x14ac:dyDescent="0.25">
      <c r="A13" t="s">
        <v>64</v>
      </c>
      <c r="B13" s="18">
        <f>B11+B12</f>
        <v>1600495550.1360874</v>
      </c>
    </row>
    <row r="14" spans="1:2" x14ac:dyDescent="0.25">
      <c r="A14" s="19" t="s">
        <v>65</v>
      </c>
      <c r="B14" s="24">
        <f>B13/Assumptions!B31</f>
        <v>7.456690890734731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541960541.7617075</v>
      </c>
    </row>
    <row r="18" spans="1:2" x14ac:dyDescent="0.25">
      <c r="A18" t="s">
        <v>60</v>
      </c>
      <c r="B18" s="18">
        <f>B17*Assumptions!B13</f>
        <v>3825433066.87361</v>
      </c>
    </row>
    <row r="19" spans="1:2" x14ac:dyDescent="0.25">
      <c r="A19" t="s">
        <v>61</v>
      </c>
      <c r="B19" s="18">
        <f>B18/(1+Assumptions!B26)^(5-0.5*Assumptions!B32)</f>
        <v>2734928314.6188407</v>
      </c>
    </row>
    <row r="20" spans="1:2" x14ac:dyDescent="0.25">
      <c r="A20" t="s">
        <v>62</v>
      </c>
      <c r="B20" s="18">
        <f>Forecast!B17+B19</f>
        <v>2738436216.7021885</v>
      </c>
    </row>
    <row r="21" spans="1:2" x14ac:dyDescent="0.25">
      <c r="A21" t="s">
        <v>63</v>
      </c>
      <c r="B21" s="18">
        <f>-Assumptions!B30</f>
        <v>-409816000</v>
      </c>
    </row>
    <row r="22" spans="1:2" x14ac:dyDescent="0.25">
      <c r="A22" t="s">
        <v>64</v>
      </c>
      <c r="B22" s="18">
        <f>B20+B21</f>
        <v>2328620216.7021885</v>
      </c>
    </row>
    <row r="23" spans="1:2" x14ac:dyDescent="0.25">
      <c r="A23" s="19" t="s">
        <v>65</v>
      </c>
      <c r="B23" s="25">
        <f>B22/Assumptions!B31</f>
        <v>10.849015579198285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10.49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7.456690890734731</v>
      </c>
    </row>
    <row r="29" spans="1:2" x14ac:dyDescent="0.25">
      <c r="A29" s="19" t="s">
        <v>73</v>
      </c>
      <c r="B29" s="12">
        <f>B28/B26-1</f>
        <v>-0.2891619741911601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0.057421</v>
      </c>
      <c r="B5" s="31">
        <v>12.90860995274003</v>
      </c>
      <c r="C5" s="31">
        <v>13.628441728963368</v>
      </c>
      <c r="D5" s="31">
        <v>14.555131769271577</v>
      </c>
      <c r="E5" s="31">
        <v>15.801836922841325</v>
      </c>
      <c r="F5" s="31">
        <v>17.58265231027039</v>
      </c>
    </row>
    <row r="6" spans="1:6" x14ac:dyDescent="0.25">
      <c r="A6" s="30">
        <v>0.067421</v>
      </c>
      <c r="B6" s="31">
        <v>9.588033726322962</v>
      </c>
      <c r="C6" s="31">
        <v>9.847157846588559</v>
      </c>
      <c r="D6" s="31">
        <v>10.156254143166127</v>
      </c>
      <c r="E6" s="31">
        <v>10.535353685366482</v>
      </c>
      <c r="F6" s="31">
        <v>11.016844391031194</v>
      </c>
    </row>
    <row r="7" spans="1:6" x14ac:dyDescent="0.25">
      <c r="A7" s="30">
        <v>0.077421</v>
      </c>
      <c r="B7" s="31">
        <v>7.352224264755546</v>
      </c>
      <c r="C7" s="31">
        <v>7.403855964070931</v>
      </c>
      <c r="D7" s="32">
        <v>7.456714569879156</v>
      </c>
      <c r="E7" s="31">
        <v>7.511188171790165</v>
      </c>
      <c r="F7" s="31">
        <v>7.567847829928455</v>
      </c>
    </row>
    <row r="8" spans="1:6" x14ac:dyDescent="0.25">
      <c r="A8" s="30">
        <v>0.087421</v>
      </c>
      <c r="B8" s="31">
        <v>5.94943608046192</v>
      </c>
      <c r="C8" s="31">
        <v>5.988070527893059</v>
      </c>
      <c r="D8" s="31">
        <v>6.026704975324195</v>
      </c>
      <c r="E8" s="31">
        <v>6.065339422755332</v>
      </c>
      <c r="F8" s="31">
        <v>6.103973870186467</v>
      </c>
    </row>
    <row r="9" spans="1:6" x14ac:dyDescent="0.25">
      <c r="A9" s="30">
        <v>0.097421</v>
      </c>
      <c r="B9" s="31">
        <v>4.860019764160388</v>
      </c>
      <c r="C9" s="31">
        <v>4.893289389758423</v>
      </c>
      <c r="D9" s="31">
        <v>4.926559015356456</v>
      </c>
      <c r="E9" s="31">
        <v>4.959828640954493</v>
      </c>
      <c r="F9" s="31">
        <v>4.9930982665525265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2854861000</v>
      </c>
      <c r="C5" s="18">
        <v>2783944000</v>
      </c>
      <c r="D5" s="18">
        <v>2710748000</v>
      </c>
      <c r="E5" s="18">
        <v>2280782000</v>
      </c>
      <c r="F5" s="8" t="s">
        <v>84</v>
      </c>
    </row>
    <row r="6" spans="1:6" x14ac:dyDescent="0.25">
      <c r="A6" t="s">
        <v>44</v>
      </c>
      <c r="B6" s="18">
        <v>201045000</v>
      </c>
      <c r="C6" s="18">
        <v>223051000</v>
      </c>
      <c r="D6" s="18">
        <v>243510000</v>
      </c>
      <c r="E6" s="18">
        <v>115621000</v>
      </c>
      <c r="F6" s="8" t="s">
        <v>85</v>
      </c>
    </row>
    <row r="7" spans="1:6" x14ac:dyDescent="0.25">
      <c r="A7" t="s">
        <v>86</v>
      </c>
      <c r="B7" s="18">
        <v>161358000</v>
      </c>
      <c r="C7" s="18">
        <v>149390000</v>
      </c>
      <c r="D7" s="18">
        <v>159326000</v>
      </c>
      <c r="E7" s="18">
        <v>142093000</v>
      </c>
      <c r="F7" s="8" t="s">
        <v>87</v>
      </c>
    </row>
    <row r="8" spans="1:6" x14ac:dyDescent="0.25">
      <c r="A8" t="s">
        <v>88</v>
      </c>
      <c r="B8" s="18">
        <v>94643000</v>
      </c>
      <c r="C8" s="18">
        <v>102656000</v>
      </c>
      <c r="D8" s="18">
        <v>95604000</v>
      </c>
      <c r="E8" s="18">
        <v>92031000</v>
      </c>
      <c r="F8" s="8" t="s">
        <v>89</v>
      </c>
    </row>
    <row r="9" spans="1:6" x14ac:dyDescent="0.25">
      <c r="A9" t="s">
        <v>90</v>
      </c>
      <c r="B9" s="18">
        <v>335425000</v>
      </c>
      <c r="C9" s="18">
        <v>89625000</v>
      </c>
      <c r="D9" s="18">
        <v>-19609000</v>
      </c>
      <c r="E9" s="18">
        <v>8688000</v>
      </c>
      <c r="F9" s="8" t="s">
        <v>91</v>
      </c>
    </row>
    <row r="10" spans="1:6" x14ac:dyDescent="0.25">
      <c r="A10" t="s">
        <v>92</v>
      </c>
      <c r="B10" s="18">
        <v>1234854000</v>
      </c>
      <c r="C10" s="18">
        <v>884111000</v>
      </c>
      <c r="D10" s="18">
        <v>988152000</v>
      </c>
      <c r="E10" s="18">
        <v>1358733000</v>
      </c>
      <c r="F10" s="8" t="s">
        <v>93</v>
      </c>
    </row>
    <row r="11" spans="1:6" x14ac:dyDescent="0.25">
      <c r="A11" t="s">
        <v>94</v>
      </c>
      <c r="B11" s="18">
        <v>825038000</v>
      </c>
      <c r="C11" s="18">
        <v>835140000</v>
      </c>
      <c r="D11" s="18">
        <v>1167665000</v>
      </c>
      <c r="E11" s="18">
        <v>1371721000</v>
      </c>
      <c r="F11" s="8" t="s">
        <v>95</v>
      </c>
    </row>
    <row r="12" spans="1:6" x14ac:dyDescent="0.25">
      <c r="A12" t="s">
        <v>32</v>
      </c>
      <c r="B12" s="34">
        <v>214638849</v>
      </c>
      <c r="C12" s="34">
        <v>223446939</v>
      </c>
      <c r="D12" s="34">
        <v>278163347</v>
      </c>
      <c r="E12" s="34">
        <v>210937778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2026-09-19T00:06:54Z</dcterms:modified>
</cp:coreProperties>
</file>