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<sst xmlns="http://schemas.openxmlformats.org/spreadsheetml/2006/main" count="115" uniqueCount="103">
  <si>
    <t>First Quantum Minerals Ltd. (FM.TO)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</si>
  <si>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</si>
  <si>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</si>
  <si>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</si>
  <si>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</si>
  <si>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</si>
  <si>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</si>
  <si>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</si>
  <si>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</si>
  <si>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</si>
  <si>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</si>
  <si>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</si>
  <si>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</si>
  <si>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</si>
  <si>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</si>
  <si>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</si>
  <si>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CAD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</si>
  <si>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</si>
  <si>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</si>
  <si>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</si>
  <si>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</si>
  <si>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</si>
  <si>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</si>
  <si>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</si>
  <si>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</si>
  <si>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</si>
  <si>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</si>
  <si>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</si>
  <si>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</si>
  <si>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</si>
  <si>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</si>
  <si>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</si>
  <si>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</si>
  <si>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</si>
  <si>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</si>
  <si>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</si>
  <si>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</si>
  <si>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</si>
  <si>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</si>
  <si>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</si>
  <si>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</si>
  <si>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</si>
  <si>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</si>
  <si>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</si>
  <si>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</si>
  <si>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</si>
  <si>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</si>
  <si>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</si>
  <si>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</si>
  <si>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</si>
  <si>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</si>
  <si>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</si>
  <si>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</si>
  <si>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</si>
  <si>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</si>
  <si>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</si>
  <si>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</si>
  <si>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</si>
  <si>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</si>
  <si>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</si>
  <si>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</si>
  <si>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</si>
  <si>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</si>
  <si>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</si>
  <si>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</si>
  <si>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</si>
  <si>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</si>
  <si>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</si>
  <si>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</si>
  <si>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(CAD)</t>
  </si>
  <si>
    <t>Conversion, USD to CAD</t>
  </si>
  <si>
    <t>USD/CAD at 1.3982</t>
  </si>
  <si>
    <t>Value per share (CAD)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</si>
  <si>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</si>
  <si>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</si>
  <si>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</si>
  <si>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</si>
  <si>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</si>
  <si>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</si>
  <si>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</si>
  <si>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</si>
  <si>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</si>
  <si>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</si>
  <si>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</si>
  <si>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</si>
  <si>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</si>
  <si>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</si>
  <si>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</si>
  <si>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</si>
  <si>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</si>
  <si>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</si>
  <si>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</si>
  <si>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</si>
  <si>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</si>
  <si>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</si>
  <si>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</si>
  <si>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</si>
  <si>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</si>
  <si>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Reports in USD, trades in CAD. Modelled in USD, converted at the end.</t>
  </si>
  <si>
    <t>Adjusted: Capital expenditure runs at 21.0% of revenue against depreciation of 15.1%.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</si>
  <si>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CAD assumption - no free live source available for this market.</t>
  </si>
  <si>
    <t>Current EV/EBITDA of 22.9x sits outside a defensible 3-20x band, so the exit multiple is capped at 20.0x. A multiple that far out usually means EBITDA is the wrong denominator for this business.</t>
  </si>
  <si>
    <t>Data: Yahoo Finance. Risk-free rate: CAD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</si>
</sst>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-0.11774270577909629</v>
      </c>
    </row>
    <row r="7" spans="1:2" x14ac:dyDescent="0.25">
      <c r="A7" t="s">
        <v>5</v>
      </c>
      <c r="B7" s="6">
        <v>0.2109071880417043</v>
      </c>
    </row>
    <row r="8" spans="1:2" x14ac:dyDescent="0.25">
      <c r="A8" t="s">
        <v>6</v>
      </c>
      <c r="B8" s="6">
        <v>0.265</v>
      </c>
    </row>
    <row r="9" spans="1:2" x14ac:dyDescent="0.25">
      <c r="A9" t="s">
        <v>7</v>
      </c>
      <c r="B9" s="6">
        <v>0.1509621795917361</v>
      </c>
    </row>
    <row r="10" spans="1:2" x14ac:dyDescent="0.25">
      <c r="A10" t="s">
        <v>8</v>
      </c>
      <c r="B10" s="6">
        <v>0.20968336252534092</v>
      </c>
    </row>
    <row r="11" spans="1:2" x14ac:dyDescent="0.25">
      <c r="A11" t="s">
        <v>9</v>
      </c>
      <c r="B11" s="6">
        <v>0.09230769230769231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0.11866522569169582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0.033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1.69211</v>
      </c>
      <c r="C19" s="8" t="s">
        <v>19</v>
      </c>
    </row>
    <row r="20" spans="1:2" x14ac:dyDescent="0.25">
      <c r="A20" t="s">
        <v>20</v>
      </c>
      <c r="B20" s="10">
        <f>B17+B19*B18</f>
        <v>0.12606604999999999</v>
      </c>
    </row>
    <row r="21" spans="1:3" x14ac:dyDescent="0.25">
      <c r="A21" t="s">
        <v>21</v>
      </c>
      <c r="B21" s="6">
        <v>0.09950329777705398</v>
      </c>
      <c r="C21" s="8" t="s">
        <v>22</v>
      </c>
    </row>
    <row r="22" spans="1:2" x14ac:dyDescent="0.25">
      <c r="A22" t="s">
        <v>23</v>
      </c>
      <c r="B22" s="11">
        <v>36346359808</v>
      </c>
    </row>
    <row r="23" spans="1:2" x14ac:dyDescent="0.25">
      <c r="A23" t="s">
        <v>24</v>
      </c>
      <c r="B23" s="11">
        <v>5908000000</v>
      </c>
    </row>
    <row r="24" spans="1:2" x14ac:dyDescent="0.25">
      <c r="A24" t="s">
        <v>25</v>
      </c>
      <c r="B24" s="10">
        <f>B22/(B22+B23)</f>
        <v>0.8601801085889026</v>
      </c>
    </row>
    <row r="25" spans="1:2" x14ac:dyDescent="0.25">
      <c r="A25" t="s">
        <v>26</v>
      </c>
      <c r="B25" s="10">
        <f>1-B24</f>
        <v>0.1398198914110974</v>
      </c>
    </row>
    <row r="26" spans="1:2" x14ac:dyDescent="0.25">
      <c r="A26" t="s">
        <v>27</v>
      </c>
      <c r="B26" s="12">
        <f>B24*B20+B25*B21*(1-B8)</f>
        <v>0.11866522569169582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5237000000</v>
      </c>
      <c r="C29" s="8" t="s">
        <v>30</v>
      </c>
    </row>
    <row r="30" spans="1:2" x14ac:dyDescent="0.25">
      <c r="A30" t="s">
        <v>31</v>
      </c>
      <c r="B30" s="11">
        <v>5192000000</v>
      </c>
    </row>
    <row r="31" spans="1:2" x14ac:dyDescent="0.25">
      <c r="A31" t="s">
        <v>32</v>
      </c>
      <c r="B31" s="13">
        <v>832252000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-0.11774270577909629</v>
      </c>
      <c r="C5" s="10">
        <f>Assumptions!B6</f>
        <v>-0.11774270577909629</v>
      </c>
      <c r="D5" s="10">
        <f>Assumptions!B6</f>
        <v>-0.11774270577909629</v>
      </c>
      <c r="E5" s="10">
        <f>Assumptions!B6</f>
        <v>-0.11774270577909629</v>
      </c>
      <c r="F5" s="10">
        <f>Assumptions!B6</f>
        <v>-0.11774270577909629</v>
      </c>
    </row>
    <row r="6" spans="1:6" x14ac:dyDescent="0.25">
      <c r="A6" t="s">
        <v>43</v>
      </c>
      <c r="B6" s="18">
        <f>Assumptions!B29*(1+B5)</f>
        <v>4620381449.834873</v>
      </c>
      <c r="C6" s="18">
        <f>B6*(1+C5)</f>
        <v>4076365236.1997714</v>
      </c>
      <c r="D6" s="18">
        <f>C6*(1+D5)</f>
        <v>3596402963.5457654</v>
      </c>
      <c r="E6" s="18">
        <f>D6*(1+E5)</f>
        <v>3172952747.5459266</v>
      </c>
      <c r="F6" s="18">
        <f>E6*(1+F5)</f>
        <v>2799360705.740651</v>
      </c>
    </row>
    <row r="7" spans="1:6" x14ac:dyDescent="0.25">
      <c r="A7" t="s">
        <v>5</v>
      </c>
      <c r="B7" s="10">
        <f>Assumptions!B7</f>
        <v>0.2109071880417043</v>
      </c>
      <c r="C7" s="10">
        <f>Assumptions!B7</f>
        <v>0.2109071880417043</v>
      </c>
      <c r="D7" s="10">
        <f>Assumptions!B7</f>
        <v>0.2109071880417043</v>
      </c>
      <c r="E7" s="10">
        <f>Assumptions!B7</f>
        <v>0.2109071880417043</v>
      </c>
      <c r="F7" s="10">
        <f>Assumptions!B7</f>
        <v>0.2109071880417043</v>
      </c>
    </row>
    <row r="8" spans="1:6" x14ac:dyDescent="0.25">
      <c r="A8" t="s">
        <v>44</v>
      </c>
      <c r="B8" s="18">
        <f>B6*B7</f>
        <v>974471659.2647259</v>
      </c>
      <c r="C8" s="18">
        <f>C6*C7</f>
        <v>859734729.3978516</v>
      </c>
      <c r="D8" s="18">
        <f>D6*D7</f>
        <v>758507236.1062894</v>
      </c>
      <c r="E8" s="18">
        <f>E6*E7</f>
        <v>669198541.774111</v>
      </c>
      <c r="F8" s="18">
        <f>F6*F7</f>
        <v>590405294.7622015</v>
      </c>
    </row>
    <row r="9" spans="1:6" x14ac:dyDescent="0.25">
      <c r="A9" t="s">
        <v>45</v>
      </c>
      <c r="B9" s="18">
        <f>B8*(1-Assumptions!B8)</f>
        <v>716236669.5595735</v>
      </c>
      <c r="C9" s="18">
        <f>C8*(1-Assumptions!B8)</f>
        <v>631905026.1074209</v>
      </c>
      <c r="D9" s="18">
        <f>D8*(1-Assumptions!B8)</f>
        <v>557502818.5381227</v>
      </c>
      <c r="E9" s="18">
        <f>E8*(1-Assumptions!B8)</f>
        <v>491860928.2039716</v>
      </c>
      <c r="F9" s="18">
        <f>F8*(1-Assumptions!B8)</f>
        <v>433947891.6502181</v>
      </c>
    </row>
    <row r="10" spans="1:6" x14ac:dyDescent="0.25">
      <c r="A10" t="s">
        <v>46</v>
      </c>
      <c r="B10" s="18">
        <f>B6*Assumptions!B9</f>
        <v>697502854.2122982</v>
      </c>
      <c r="C10" s="18">
        <f>C6*Assumptions!B9</f>
        <v>615376980.8686997</v>
      </c>
      <c r="D10" s="18">
        <f>D6*Assumptions!B9</f>
        <v>542920830.0670478</v>
      </c>
      <c r="E10" s="18">
        <f>E6*Assumptions!B9</f>
        <v>478995862.5111207</v>
      </c>
      <c r="F10" s="18">
        <f>F6*Assumptions!B9</f>
        <v>422597593.6020693</v>
      </c>
    </row>
    <row r="11" spans="1:6" x14ac:dyDescent="0.25">
      <c r="A11" t="s">
        <v>47</v>
      </c>
      <c r="B11" s="18">
        <f>-B6*Assumptions!B10</f>
        <v>-968817118.551086</v>
      </c>
      <c r="C11" s="18">
        <f>-C6*Assumptions!B10</f>
        <v>-854745969.6077737</v>
      </c>
      <c r="D11" s="18">
        <f>-D6*Assumptions!B10</f>
        <v>-754105866.3923771</v>
      </c>
      <c r="E11" s="18">
        <f>-E6*Assumptions!B10</f>
        <v>-665315401.239449</v>
      </c>
      <c r="F11" s="18">
        <f>-F6*Assumptions!B10</f>
        <v>-586979365.7010112</v>
      </c>
    </row>
    <row r="12" spans="1:6" x14ac:dyDescent="0.25">
      <c r="A12" t="s">
        <v>48</v>
      </c>
      <c r="B12" s="18">
        <f>-(B6-Assumptions!B29)*Assumptions!B11</f>
        <v>56918635.399857864</v>
      </c>
      <c r="C12" s="18">
        <f>-(C6-B6)*Assumptions!B11</f>
        <v>50216881.258624785</v>
      </c>
      <c r="D12" s="18">
        <f>-(D6-C6)*Assumptions!B11</f>
        <v>44304209.78344671</v>
      </c>
      <c r="E12" s="18">
        <f>-(E6-D6)*Assumptions!B11</f>
        <v>39087712.24613897</v>
      </c>
      <c r="F12" s="18">
        <f>-(F6-E6)*Assumptions!B11</f>
        <v>34485419.24356389</v>
      </c>
    </row>
    <row r="13" spans="1:6" x14ac:dyDescent="0.25">
      <c r="A13" s="19" t="s">
        <v>49</v>
      </c>
      <c r="B13" s="20">
        <f>B9+B10+B11+B12</f>
        <v>501841040.6206435</v>
      </c>
      <c r="C13" s="20">
        <f>C9+C10+C11+C12</f>
        <v>442752918.6269716</v>
      </c>
      <c r="D13" s="20">
        <f>D9+D10+D11+D12</f>
        <v>390621991.9962401</v>
      </c>
      <c r="E13" s="20">
        <f>E9+E10+E11+E12</f>
        <v>344629101.72178227</v>
      </c>
      <c r="F13" s="20">
        <f>F9+F10+F11+F12</f>
        <v>304051538.7948401</v>
      </c>
    </row>
    <row r="14" spans="1:6" x14ac:dyDescent="0.25">
      <c r="A14" t="s">
        <v>50</v>
      </c>
      <c r="B14" s="21">
        <f>1/(1+Assumptions!$B$26)^(1-0.5*Assumptions!$B$32)</f>
        <v>0.9454747412810206</v>
      </c>
      <c r="C14" s="21">
        <f>1/(1+Assumptions!$B$26)^(2-0.5*Assumptions!$B$32)</f>
        <v>0.8451811315547174</v>
      </c>
      <c r="D14" s="21">
        <f>1/(1+Assumptions!$B$26)^(3-0.5*Assumptions!$B$32)</f>
        <v>0.7555264185781077</v>
      </c>
      <c r="E14" s="21">
        <f>1/(1+Assumptions!$B$26)^(4-0.5*Assumptions!$B$32)</f>
        <v>0.6753820546365412</v>
      </c>
      <c r="F14" s="21">
        <f>1/(1+Assumptions!$B$26)^(5-0.5*Assumptions!$B$32)</f>
        <v>0.6037392055509165</v>
      </c>
    </row>
    <row r="15" spans="1:6" x14ac:dyDescent="0.25">
      <c r="A15" s="19" t="s">
        <v>51</v>
      </c>
      <c r="B15" s="20">
        <f>B13*B14</f>
        <v>474478028.0450011</v>
      </c>
      <c r="C15" s="20">
        <f>C13*C14</f>
        <v>374206412.7642976</v>
      </c>
      <c r="D15" s="20">
        <f>D13*D14</f>
        <v>295125234.6307655</v>
      </c>
      <c r="E15" s="20">
        <f>E13*E14</f>
        <v>232756310.80840287</v>
      </c>
      <c r="F15" s="20">
        <f>F13*F14</f>
        <v>183567834.47853044</v>
      </c>
    </row>
    <row r="17" spans="1:2" x14ac:dyDescent="0.25">
      <c r="A17" s="22" t="s">
        <v>52</v>
      </c>
      <c r="B17" s="23">
        <f>SUM(B15:F15)</f>
        <v>1560133820.7269974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304051538.7948401</v>
      </c>
    </row>
    <row r="5" spans="1:2" x14ac:dyDescent="0.25">
      <c r="A5" t="s">
        <v>56</v>
      </c>
      <c r="B5" s="18">
        <f>IF(Assumptions!$B$33=0,B4,B4-Forecast!F11-Forecast!F10-Forecast!F12)</f>
        <v>433947891.6502181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0.2106767155607365</v>
      </c>
    </row>
    <row r="7" spans="1:2" x14ac:dyDescent="0.25">
      <c r="A7" t="s">
        <v>58</v>
      </c>
      <c r="B7" s="18">
        <f>-MAX(Forecast!F9,0)*B6</f>
        <v>-91422716.5373743</v>
      </c>
    </row>
    <row r="8" spans="1:2" x14ac:dyDescent="0.25">
      <c r="A8" t="s">
        <v>59</v>
      </c>
      <c r="B8" s="18">
        <f>IF(OR(Assumptions!$B$33=0,Assumptions!B12&lt;=0),B5,MAX(B5+B7,0))</f>
        <v>342525175.1128438</v>
      </c>
    </row>
    <row r="9" spans="1:2" x14ac:dyDescent="0.25">
      <c r="A9" t="s">
        <v>60</v>
      </c>
      <c r="B9" s="18">
        <f>B8*(1+Assumptions!B12)/(Assumptions!B26-Assumptions!B12)</f>
        <v>3748331378.032346</v>
      </c>
    </row>
    <row r="10" spans="1:2" x14ac:dyDescent="0.25">
      <c r="A10" t="s">
        <v>61</v>
      </c>
      <c r="B10" s="18">
        <f>B9/(1+Assumptions!B26)^(5-0.5*Assumptions!B32)</f>
        <v>2263014608.314821</v>
      </c>
    </row>
    <row r="11" spans="1:2" x14ac:dyDescent="0.25">
      <c r="A11" t="s">
        <v>62</v>
      </c>
      <c r="B11" s="18">
        <f>Forecast!B17+B10</f>
        <v>3823148429.041818</v>
      </c>
    </row>
    <row r="12" spans="1:2" x14ac:dyDescent="0.25">
      <c r="A12" t="s">
        <v>63</v>
      </c>
      <c r="B12" s="18">
        <f>-Assumptions!B30</f>
        <v>-5192000000</v>
      </c>
    </row>
    <row r="13" spans="1:2" x14ac:dyDescent="0.25">
      <c r="A13" t="s">
        <v>64</v>
      </c>
      <c r="B13" s="18">
        <f>B11+B12</f>
        <v>-1368851570.9581819</v>
      </c>
    </row>
    <row r="14" spans="1:2" x14ac:dyDescent="0.25">
      <c r="A14" s="19" t="s">
        <v>65</v>
      </c>
      <c r="B14" s="24">
        <f>B13/Assumptions!B31</f>
        <v>-1.6447561206920283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1013002888.3642709</v>
      </c>
    </row>
    <row r="18" spans="1:2" x14ac:dyDescent="0.25">
      <c r="A18" t="s">
        <v>60</v>
      </c>
      <c r="B18" s="18">
        <f>B17*Assumptions!B13</f>
        <v>20260057767.28542</v>
      </c>
    </row>
    <row r="19" spans="1:2" x14ac:dyDescent="0.25">
      <c r="A19" t="s">
        <v>61</v>
      </c>
      <c r="B19" s="18">
        <f>B18/(1+Assumptions!B26)^(5-0.5*Assumptions!B32)</f>
        <v>12231791180.836575</v>
      </c>
    </row>
    <row r="20" spans="1:2" x14ac:dyDescent="0.25">
      <c r="A20" t="s">
        <v>62</v>
      </c>
      <c r="B20" s="18">
        <f>Forecast!B17+B19</f>
        <v>13791925001.563572</v>
      </c>
    </row>
    <row r="21" spans="1:2" x14ac:dyDescent="0.25">
      <c r="A21" t="s">
        <v>63</v>
      </c>
      <c r="B21" s="18">
        <f>-Assumptions!B30</f>
        <v>-5192000000</v>
      </c>
    </row>
    <row r="22" spans="1:2" x14ac:dyDescent="0.25">
      <c r="A22" t="s">
        <v>64</v>
      </c>
      <c r="B22" s="18">
        <f>B20+B21</f>
        <v>8599925001.563572</v>
      </c>
    </row>
    <row r="23" spans="1:2" x14ac:dyDescent="0.25">
      <c r="A23" s="19" t="s">
        <v>65</v>
      </c>
      <c r="B23" s="25">
        <f>B22/Assumptions!B31</f>
        <v>10.333318515982626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43.57</v>
      </c>
    </row>
    <row r="27" spans="1:3" x14ac:dyDescent="0.25">
      <c r="A27" t="s">
        <v>70</v>
      </c>
      <c r="B27" s="27">
        <v>1.3982</v>
      </c>
      <c r="C27" s="8" t="s">
        <v>71</v>
      </c>
    </row>
    <row r="28" spans="1:2" x14ac:dyDescent="0.25">
      <c r="A28" t="s">
        <v>72</v>
      </c>
      <c r="B28" s="28">
        <f>B14*B27</f>
        <v>-2.2996980079515943</v>
      </c>
    </row>
    <row r="29" spans="1:2" x14ac:dyDescent="0.25">
      <c r="A29" s="19" t="s">
        <v>73</v>
      </c>
      <c r="B29" s="12">
        <f>B28/B26-1</f>
        <v>-1.0527816848278997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0.098665</v>
      </c>
      <c r="B5" s="31">
        <v>-0.780860148063044</v>
      </c>
      <c r="C5" s="31">
        <v>-0.7635581676266495</v>
      </c>
      <c r="D5" s="31">
        <v>-0.7462561871902572</v>
      </c>
      <c r="E5" s="31">
        <v>-0.7289542067538639</v>
      </c>
      <c r="F5" s="31">
        <v>-0.7116522263174716</v>
      </c>
    </row>
    <row r="6" spans="1:6" x14ac:dyDescent="0.25">
      <c r="A6" s="30">
        <v>0.108665</v>
      </c>
      <c r="B6" s="31">
        <v>-1.2674997322247088</v>
      </c>
      <c r="C6" s="31">
        <v>-1.2524176418998823</v>
      </c>
      <c r="D6" s="31">
        <v>-1.2373355515750564</v>
      </c>
      <c r="E6" s="31">
        <v>-1.2222534612502305</v>
      </c>
      <c r="F6" s="31">
        <v>-1.207171370925405</v>
      </c>
    </row>
    <row r="7" spans="1:6" x14ac:dyDescent="0.25">
      <c r="A7" s="30">
        <v>0.118665</v>
      </c>
      <c r="B7" s="31">
        <v>-1.6712760374147153</v>
      </c>
      <c r="C7" s="31">
        <v>-1.6580118738344367</v>
      </c>
      <c r="D7" s="32">
        <v>-1.6447477102541581</v>
      </c>
      <c r="E7" s="31">
        <v>-1.63148354667388</v>
      </c>
      <c r="F7" s="31">
        <v>-1.618219383093602</v>
      </c>
    </row>
    <row r="8" spans="1:6" x14ac:dyDescent="0.25">
      <c r="A8" s="30">
        <v>0.128665</v>
      </c>
      <c r="B8" s="31">
        <v>-2.0115695652450083</v>
      </c>
      <c r="C8" s="31">
        <v>-1.9998165430760646</v>
      </c>
      <c r="D8" s="31">
        <v>-1.9880635209071227</v>
      </c>
      <c r="E8" s="31">
        <v>-1.9763104987381785</v>
      </c>
      <c r="F8" s="31">
        <v>-1.964557476569236</v>
      </c>
    </row>
    <row r="9" spans="1:6" x14ac:dyDescent="0.25">
      <c r="A9" s="30">
        <v>0.138665</v>
      </c>
      <c r="B9" s="31">
        <v>-2.3021661799478643</v>
      </c>
      <c r="C9" s="31">
        <v>-2.2916851488095467</v>
      </c>
      <c r="D9" s="31">
        <v>-2.2812041176712308</v>
      </c>
      <c r="E9" s="31">
        <v>-2.270723086532913</v>
      </c>
      <c r="F9" s="31">
        <v>-2.2602420553945963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5237000000</v>
      </c>
      <c r="C5" s="18">
        <v>4802000000</v>
      </c>
      <c r="D5" s="18">
        <v>6456000000</v>
      </c>
      <c r="E5" s="18">
        <v>7626000000</v>
      </c>
      <c r="F5" s="8" t="s">
        <v>84</v>
      </c>
    </row>
    <row r="6" spans="1:6" x14ac:dyDescent="0.25">
      <c r="A6" t="s">
        <v>44</v>
      </c>
      <c r="B6" s="18">
        <v>1092000000</v>
      </c>
      <c r="C6" s="18">
        <v>1031000000</v>
      </c>
      <c r="D6" s="18">
        <v>1148000000</v>
      </c>
      <c r="E6" s="18">
        <v>1850000000</v>
      </c>
      <c r="F6" s="8" t="s">
        <v>85</v>
      </c>
    </row>
    <row r="7" spans="1:6" x14ac:dyDescent="0.25">
      <c r="A7" t="s">
        <v>86</v>
      </c>
      <c r="B7" s="18">
        <v>718000000</v>
      </c>
      <c r="C7" s="18">
        <v>633000000</v>
      </c>
      <c r="D7" s="18">
        <v>1121000000</v>
      </c>
      <c r="E7" s="18">
        <v>1230000000</v>
      </c>
      <c r="F7" s="8" t="s">
        <v>87</v>
      </c>
    </row>
    <row r="8" spans="1:6" x14ac:dyDescent="0.25">
      <c r="A8" t="s">
        <v>88</v>
      </c>
      <c r="B8" s="18">
        <v>1134000000</v>
      </c>
      <c r="C8" s="18">
        <v>1286000000</v>
      </c>
      <c r="D8" s="18">
        <v>1300000000</v>
      </c>
      <c r="E8" s="18">
        <v>1167000000</v>
      </c>
      <c r="F8" s="8" t="s">
        <v>89</v>
      </c>
    </row>
    <row r="9" spans="1:6" x14ac:dyDescent="0.25">
      <c r="A9" t="s">
        <v>90</v>
      </c>
      <c r="B9" s="18">
        <v>485000000</v>
      </c>
      <c r="C9" s="18">
        <v>230000000</v>
      </c>
      <c r="D9" s="18">
        <v>-108000000</v>
      </c>
      <c r="E9" s="18">
        <v>216000000</v>
      </c>
      <c r="F9" s="8" t="s">
        <v>91</v>
      </c>
    </row>
    <row r="10" spans="1:6" x14ac:dyDescent="0.25">
      <c r="A10" t="s">
        <v>92</v>
      </c>
      <c r="B10" s="18">
        <v>5908000000</v>
      </c>
      <c r="C10" s="18">
        <v>6373000000</v>
      </c>
      <c r="D10" s="18">
        <v>7577000000</v>
      </c>
      <c r="E10" s="18">
        <v>7380000000</v>
      </c>
      <c r="F10" s="8" t="s">
        <v>93</v>
      </c>
    </row>
    <row r="11" spans="1:6" x14ac:dyDescent="0.25">
      <c r="A11" t="s">
        <v>94</v>
      </c>
      <c r="B11" s="18">
        <v>716000000</v>
      </c>
      <c r="C11" s="18">
        <v>843000000</v>
      </c>
      <c r="D11" s="18">
        <v>1157000000</v>
      </c>
      <c r="E11" s="18">
        <v>1688000000</v>
      </c>
      <c r="F11" s="8" t="s">
        <v>95</v>
      </c>
    </row>
    <row r="12" spans="1:6" x14ac:dyDescent="0.25">
      <c r="A12" t="s">
        <v>32</v>
      </c>
      <c r="B12" s="34">
        <v>832252000</v>
      </c>
      <c r="C12" s="34">
        <v>812222000</v>
      </c>
      <c r="D12" s="34">
        <v>690876000</v>
      </c>
      <c r="E12" s="34">
        <v>692987000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54" customHeight="1" spans="1:6" x14ac:dyDescent="0.25">
      <c r="A17" s="35" t="s">
        <v>99</v>
      </c>
      <c r="B17" s="35"/>
      <c r="C17" s="35"/>
      <c r="D17" s="35"/>
      <c r="E17" s="35"/>
      <c r="F17" s="35"/>
    </row>
    <row r="18" ht="22" customHeight="1" spans="1:6" x14ac:dyDescent="0.25">
      <c r="A18" s="35" t="s">
        <v>100</v>
      </c>
      <c r="B18" s="35"/>
      <c r="C18" s="35"/>
      <c r="D18" s="35"/>
      <c r="E18" s="35"/>
      <c r="F18" s="35"/>
    </row>
    <row r="19" ht="38" customHeight="1" spans="1:6" x14ac:dyDescent="0.25">
      <c r="A19" s="35" t="s">
        <v>101</v>
      </c>
      <c r="B19" s="35"/>
      <c r="C19" s="35"/>
      <c r="D19" s="35"/>
      <c r="E19" s="35"/>
      <c r="F19" s="35"/>
    </row>
    <row r="21" spans="1:1" x14ac:dyDescent="0.25">
      <c r="A21" s="36" t="s">
        <v>102</v>
      </c>
    </row>
  </sheetData>
  <mergeCells count="4">
    <mergeCell ref="A16:F16"/>
    <mergeCell ref="A17:F17"/>
    <mergeCell ref="A18:F18"/>
    <mergeCell ref="A19:F19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2026-09-19T00:06:58Z</dcterms:modified>
</cp:coreProperties>
</file>