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<sst xmlns="http://schemas.openxmlformats.org/spreadsheetml/2006/main" count="114" uniqueCount="102">
  <si>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Fresenius Medical Care AG (FME.DE)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</si>
  <si>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</si>
  <si>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</si>
  <si>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</si>
  <si>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</si>
  <si>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</si>
  <si>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</si>
  <si>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</si>
  <si>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</si>
  <si>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</si>
  <si>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</si>
  <si>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</si>
  <si>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</si>
  <si>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</si>
  <si>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</si>
  <si>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</si>
  <si>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</si>
  <si>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</si>
  <si>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</si>
  <si>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</si>
  <si>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</si>
  <si>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</si>
  <si>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</si>
  <si>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</si>
  <si>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</si>
  <si>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</si>
  <si>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</si>
  <si>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</si>
  <si>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</si>
  <si>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</si>
  <si>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</si>
  <si>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</si>
  <si>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</si>
  <si>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</si>
  <si>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</si>
  <si>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</si>
  <si>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</si>
  <si>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</si>
  <si>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</si>
  <si>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</si>
  <si>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</si>
  <si>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</si>
  <si>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</si>
  <si>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</si>
  <si>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</si>
  <si>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</si>
  <si>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</si>
  <si>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</si>
  <si>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</si>
  <si>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</si>
  <si>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</si>
  <si>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</si>
  <si>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</si>
  <si>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</si>
  <si>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</si>
  <si>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</si>
  <si>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</si>
  <si>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</si>
  <si>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</si>
  <si>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</si>
  <si>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</si>
  <si>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</si>
  <si>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</si>
  <si>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</si>
  <si>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</si>
  <si>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</si>
  <si>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</si>
  <si>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</si>
  <si>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</si>
  <si>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</si>
  <si>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</si>
  <si>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</si>
  <si>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</si>
  <si>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</si>
  <si>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</si>
  <si>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</si>
  <si>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</si>
  <si>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</si>
  <si>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</si>
  <si>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</si>
  <si>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</si>
  <si>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</si>
  <si>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</si>
  <si>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</si>
  <si>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</si>
  <si>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</si>
  <si>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</si>
  <si>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</si>
  <si>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</si>
  <si>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</si>
  <si>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</si>
  <si>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</si>
  <si>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</si>
  <si>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</si>
  <si>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</si>
  <si>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</si>
  <si>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</si>
  <si>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</si>
  <si>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</si>
  <si>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3.88% of revenue against depreciation of 8.78%. A business cannot depreciate more than it invests indefinitely. Capex has been set to 8.78% of revenue so the forecast is not handed free growth. Override it if the reported figure is right.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</si>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</sst>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0.003929699941064069</v>
      </c>
    </row>
    <row r="7" spans="1:2" x14ac:dyDescent="0.25">
      <c r="A7" t="s">
        <v>5</v>
      </c>
      <c r="B7" s="6">
        <v>0.07996573167889089</v>
      </c>
    </row>
    <row r="8" spans="1:2" x14ac:dyDescent="0.25">
      <c r="A8" t="s">
        <v>6</v>
      </c>
      <c r="B8" s="6">
        <v>0.27873224365994514</v>
      </c>
    </row>
    <row r="9" spans="1:2" x14ac:dyDescent="0.25">
      <c r="A9" t="s">
        <v>7</v>
      </c>
      <c r="B9" s="6">
        <v>0.08784452806814316</v>
      </c>
    </row>
    <row r="10" spans="1:2" x14ac:dyDescent="0.25">
      <c r="A10" t="s">
        <v>8</v>
      </c>
      <c r="B10" s="6">
        <v>0.08784452806814316</v>
      </c>
    </row>
    <row r="11" spans="1:2" x14ac:dyDescent="0.25">
      <c r="A11" t="s">
        <v>9</v>
      </c>
      <c r="B11" s="6">
        <v>-0.4739160692920296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5.791629087593204</v>
      </c>
    </row>
    <row r="14" spans="1:3" x14ac:dyDescent="0.25">
      <c r="A14" t="s">
        <v>12</v>
      </c>
      <c r="B14" s="6">
        <v>0.051640790499999256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0.88476</v>
      </c>
      <c r="C19" s="8" t="s">
        <v>19</v>
      </c>
    </row>
    <row r="20" spans="1:2" x14ac:dyDescent="0.25">
      <c r="A20" t="s">
        <v>20</v>
      </c>
      <c r="B20" s="10">
        <f>B17+B19*B18</f>
        <v>0.07908559999999999</v>
      </c>
    </row>
    <row r="21" spans="1:3" x14ac:dyDescent="0.25">
      <c r="A21" t="s">
        <v>21</v>
      </c>
      <c r="B21" s="6">
        <v>0.03530816050857257</v>
      </c>
      <c r="C21" s="8" t="s">
        <v>22</v>
      </c>
    </row>
    <row r="22" spans="1:2" x14ac:dyDescent="0.25">
      <c r="A22" t="s">
        <v>23</v>
      </c>
      <c r="B22" s="11">
        <v>10295783424</v>
      </c>
    </row>
    <row r="23" spans="1:2" x14ac:dyDescent="0.25">
      <c r="A23" t="s">
        <v>24</v>
      </c>
      <c r="B23" s="11">
        <v>10795605000</v>
      </c>
    </row>
    <row r="24" spans="1:2" x14ac:dyDescent="0.25">
      <c r="A24" t="s">
        <v>25</v>
      </c>
      <c r="B24" s="10">
        <f>B22/(B22+B23)</f>
        <v>0.4881510508945146</v>
      </c>
    </row>
    <row r="25" spans="1:2" x14ac:dyDescent="0.25">
      <c r="A25" t="s">
        <v>26</v>
      </c>
      <c r="B25" s="10">
        <f>1-B24</f>
        <v>0.5118489491054854</v>
      </c>
    </row>
    <row r="26" spans="1:2" x14ac:dyDescent="0.25">
      <c r="A26" t="s">
        <v>27</v>
      </c>
      <c r="B26" s="12">
        <f>B24*B20+B25*B21*(1-B8)</f>
        <v>0.051640790499999256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19627602000</v>
      </c>
      <c r="C29" s="8" t="s">
        <v>30</v>
      </c>
    </row>
    <row r="30" spans="1:2" x14ac:dyDescent="0.25">
      <c r="A30" t="s">
        <v>31</v>
      </c>
      <c r="B30" s="11">
        <v>8974316000</v>
      </c>
    </row>
    <row r="31" spans="1:2" x14ac:dyDescent="0.25">
      <c r="A31" t="s">
        <v>32</v>
      </c>
      <c r="B31" s="13">
        <v>291190575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0.003929699941064069</v>
      </c>
      <c r="C5" s="10">
        <f>Assumptions!B6</f>
        <v>0.003929699941064069</v>
      </c>
      <c r="D5" s="10">
        <f>Assumptions!B6</f>
        <v>0.003929699941064069</v>
      </c>
      <c r="E5" s="10">
        <f>Assumptions!B6</f>
        <v>0.003929699941064069</v>
      </c>
      <c r="F5" s="10">
        <f>Assumptions!B6</f>
        <v>0.003929699941064069</v>
      </c>
    </row>
    <row r="6" spans="1:6" x14ac:dyDescent="0.25">
      <c r="A6" t="s">
        <v>43</v>
      </c>
      <c r="B6" s="18">
        <f>Assumptions!B29*(1+B5)</f>
        <v>19704732586.42263</v>
      </c>
      <c r="C6" s="18">
        <f>B6*(1+C5)</f>
        <v>19782166272.906178</v>
      </c>
      <c r="D6" s="18">
        <f>C6*(1+D5)</f>
        <v>19859904250.54294</v>
      </c>
      <c r="E6" s="18">
        <f>D6*(1+E5)</f>
        <v>19937947715.105835</v>
      </c>
      <c r="F6" s="18">
        <f>E6*(1+F5)</f>
        <v>20016297867.066826</v>
      </c>
    </row>
    <row r="7" spans="1:6" x14ac:dyDescent="0.25">
      <c r="A7" t="s">
        <v>5</v>
      </c>
      <c r="B7" s="10">
        <f>Assumptions!B7</f>
        <v>0.07996573167889089</v>
      </c>
      <c r="C7" s="10">
        <f>Assumptions!B7</f>
        <v>0.07996573167889089</v>
      </c>
      <c r="D7" s="10">
        <f>Assumptions!B7</f>
        <v>0.07996573167889089</v>
      </c>
      <c r="E7" s="10">
        <f>Assumptions!B7</f>
        <v>0.07996573167889089</v>
      </c>
      <c r="F7" s="10">
        <f>Assumptions!B7</f>
        <v>0.07996573167889089</v>
      </c>
    </row>
    <row r="8" spans="1:6" x14ac:dyDescent="0.25">
      <c r="A8" t="s">
        <v>44</v>
      </c>
      <c r="B8" s="18">
        <f>B6*B7</f>
        <v>1575703358.8101697</v>
      </c>
      <c r="C8" s="18">
        <f>C6*C7</f>
        <v>1581895400.2064204</v>
      </c>
      <c r="D8" s="18">
        <f>D6*D7</f>
        <v>1588111774.4673812</v>
      </c>
      <c r="E8" s="18">
        <f>E6*E7</f>
        <v>1594352577.213909</v>
      </c>
      <c r="F8" s="18">
        <f>F6*F7</f>
        <v>1600617904.4426217</v>
      </c>
    </row>
    <row r="9" spans="1:6" x14ac:dyDescent="0.25">
      <c r="A9" t="s">
        <v>45</v>
      </c>
      <c r="B9" s="18">
        <f>B8*(1-Assumptions!B8)</f>
        <v>1136504026.2664995</v>
      </c>
      <c r="C9" s="18">
        <f>C8*(1-Assumptions!B8)</f>
        <v>1140970146.0715382</v>
      </c>
      <c r="D9" s="18">
        <f>D8*(1-Assumptions!B8)</f>
        <v>1145453816.3873115</v>
      </c>
      <c r="E9" s="18">
        <f>E8*(1-Assumptions!B8)</f>
        <v>1149955106.1820602</v>
      </c>
      <c r="F9" s="18">
        <f>F8*(1-Assumptions!B8)</f>
        <v>1154474084.6950502</v>
      </c>
    </row>
    <row r="10" spans="1:6" x14ac:dyDescent="0.25">
      <c r="A10" t="s">
        <v>46</v>
      </c>
      <c r="B10" s="18">
        <f>B6*Assumptions!B9</f>
        <v>1730952934.763258</v>
      </c>
      <c r="C10" s="18">
        <f>C6*Assumptions!B9</f>
        <v>1737755060.4089818</v>
      </c>
      <c r="D10" s="18">
        <f>D6*Assumptions!B9</f>
        <v>1744583916.3674548</v>
      </c>
      <c r="E10" s="18">
        <f>E6*Assumptions!B9</f>
        <v>1751439607.6807854</v>
      </c>
      <c r="F10" s="18">
        <f>F6*Assumptions!B9</f>
        <v>1758322239.803866</v>
      </c>
    </row>
    <row r="11" spans="1:6" x14ac:dyDescent="0.25">
      <c r="A11" t="s">
        <v>47</v>
      </c>
      <c r="B11" s="18">
        <f>-B6*Assumptions!B10</f>
        <v>-1730952934.763258</v>
      </c>
      <c r="C11" s="18">
        <f>-C6*Assumptions!B10</f>
        <v>-1737755060.4089818</v>
      </c>
      <c r="D11" s="18">
        <f>-D6*Assumptions!B10</f>
        <v>-1744583916.3674548</v>
      </c>
      <c r="E11" s="18">
        <f>-E6*Assumptions!B10</f>
        <v>-1751439607.6807854</v>
      </c>
      <c r="F11" s="18">
        <f>-F6*Assumptions!B10</f>
        <v>-1758322239.803866</v>
      </c>
    </row>
    <row r="12" spans="1:6" x14ac:dyDescent="0.25">
      <c r="A12" t="s">
        <v>48</v>
      </c>
      <c r="B12" s="18">
        <f>-(B6-Assumptions!B29)*Assumptions!B11</f>
        <v>36553424.33960214</v>
      </c>
      <c r="C12" s="18">
        <f>-(C6-B6)*Assumptions!B11</f>
        <v>36697068.329074055</v>
      </c>
      <c r="D12" s="18">
        <f>-(D6-C6)*Assumptions!B11</f>
        <v>36841276.79632534</v>
      </c>
      <c r="E12" s="18">
        <f>-(E6-D6)*Assumptions!B11</f>
        <v>36986051.959579825</v>
      </c>
      <c r="F12" s="18">
        <f>-(F6-E6)*Assumptions!B11</f>
        <v>37131396.045786016</v>
      </c>
    </row>
    <row r="13" spans="1:6" x14ac:dyDescent="0.25">
      <c r="A13" s="19" t="s">
        <v>49</v>
      </c>
      <c r="B13" s="20">
        <f>B9+B10+B11+B12</f>
        <v>1173057450.6061018</v>
      </c>
      <c r="C13" s="20">
        <f>C9+C10+C11+C12</f>
        <v>1177667214.4006126</v>
      </c>
      <c r="D13" s="20">
        <f>D9+D10+D11+D12</f>
        <v>1182295093.1836371</v>
      </c>
      <c r="E13" s="20">
        <f>E9+E10+E11+E12</f>
        <v>1186941158.1416397</v>
      </c>
      <c r="F13" s="20">
        <f>F9+F10+F11+F12</f>
        <v>1191605480.7408361</v>
      </c>
    </row>
    <row r="14" spans="1:6" x14ac:dyDescent="0.25">
      <c r="A14" t="s">
        <v>50</v>
      </c>
      <c r="B14" s="21">
        <f>1/(1+Assumptions!$B$26)^(1-0.5*Assumptions!$B$32)</f>
        <v>0.9751384665876648</v>
      </c>
      <c r="C14" s="21">
        <f>1/(1+Assumptions!$B$26)^(2-0.5*Assumptions!$B$32)</f>
        <v>0.9272543204833643</v>
      </c>
      <c r="D14" s="21">
        <f>1/(1+Assumptions!$B$26)^(3-0.5*Assumptions!$B$32)</f>
        <v>0.8817215239839682</v>
      </c>
      <c r="E14" s="21">
        <f>1/(1+Assumptions!$B$26)^(4-0.5*Assumptions!$B$32)</f>
        <v>0.8384246141353614</v>
      </c>
      <c r="F14" s="21">
        <f>1/(1+Assumptions!$B$26)^(5-0.5*Assumptions!$B$32)</f>
        <v>0.7972537977884399</v>
      </c>
    </row>
    <row r="15" spans="1:6" x14ac:dyDescent="0.25">
      <c r="A15" s="19" t="s">
        <v>51</v>
      </c>
      <c r="B15" s="20">
        <f>B13*B14</f>
        <v>1143893443.6032693</v>
      </c>
      <c r="C15" s="20">
        <f>C13*C14</f>
        <v>1091997012.6445765</v>
      </c>
      <c r="D15" s="20">
        <f>D13*D14</f>
        <v>1042455031.3606442</v>
      </c>
      <c r="E15" s="20">
        <f>E13*E14</f>
        <v>995160682.5162833</v>
      </c>
      <c r="F15" s="20">
        <f>F13*F14</f>
        <v>950011994.9861512</v>
      </c>
    </row>
    <row r="17" spans="1:2" x14ac:dyDescent="0.25">
      <c r="A17" s="22" t="s">
        <v>52</v>
      </c>
      <c r="B17" s="23">
        <f>SUM(B15:F15)</f>
        <v>5223518165.110924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1191605480.7408361</v>
      </c>
    </row>
    <row r="5" spans="1:2" x14ac:dyDescent="0.25">
      <c r="A5" t="s">
        <v>56</v>
      </c>
      <c r="B5" s="18">
        <f>IF(Assumptions!$B$33=0,B4,B4-Forecast!F11-Forecast!F10-Forecast!F12)</f>
        <v>1154474084.6950502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0.48411342580048927</v>
      </c>
    </row>
    <row r="7" spans="1:2" x14ac:dyDescent="0.25">
      <c r="A7" t="s">
        <v>58</v>
      </c>
      <c r="B7" s="18">
        <f>-MAX(Forecast!F9,0)*B6</f>
        <v>-558896404.1396049</v>
      </c>
    </row>
    <row r="8" spans="1:2" x14ac:dyDescent="0.25">
      <c r="A8" t="s">
        <v>59</v>
      </c>
      <c r="B8" s="18">
        <f>IF(OR(Assumptions!$B$33=0,Assumptions!B12&lt;=0),B5,MAX(B5+B7,0))</f>
        <v>595577680.5554453</v>
      </c>
    </row>
    <row r="9" spans="1:2" x14ac:dyDescent="0.25">
      <c r="A9" t="s">
        <v>60</v>
      </c>
      <c r="B9" s="18">
        <f>B8*(1+Assumptions!B12)/(Assumptions!B26-Assumptions!B12)</f>
        <v>22914752569.723804</v>
      </c>
    </row>
    <row r="10" spans="1:2" x14ac:dyDescent="0.25">
      <c r="A10" t="s">
        <v>61</v>
      </c>
      <c r="B10" s="18">
        <f>B9/(1+Assumptions!B26)^(5-0.5*Assumptions!B32)</f>
        <v>18268873511.594715</v>
      </c>
    </row>
    <row r="11" spans="1:2" x14ac:dyDescent="0.25">
      <c r="A11" t="s">
        <v>62</v>
      </c>
      <c r="B11" s="18">
        <f>Forecast!B17+B10</f>
        <v>23492391676.70564</v>
      </c>
    </row>
    <row r="12" spans="1:2" x14ac:dyDescent="0.25">
      <c r="A12" t="s">
        <v>63</v>
      </c>
      <c r="B12" s="18">
        <f>-Assumptions!B30</f>
        <v>-8974316000</v>
      </c>
    </row>
    <row r="13" spans="1:2" x14ac:dyDescent="0.25">
      <c r="A13" t="s">
        <v>64</v>
      </c>
      <c r="B13" s="18">
        <f>B11+B12</f>
        <v>14518075676.705639</v>
      </c>
    </row>
    <row r="14" spans="1:2" x14ac:dyDescent="0.25">
      <c r="A14" s="19" t="s">
        <v>65</v>
      </c>
      <c r="B14" s="24">
        <f>B13/Assumptions!B31</f>
        <v>49.857642805594374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3358940144.2464876</v>
      </c>
    </row>
    <row r="18" spans="1:2" x14ac:dyDescent="0.25">
      <c r="A18" t="s">
        <v>60</v>
      </c>
      <c r="B18" s="18">
        <f>B17*Assumptions!B13</f>
        <v>19453735442.90247</v>
      </c>
    </row>
    <row r="19" spans="1:2" x14ac:dyDescent="0.25">
      <c r="A19" t="s">
        <v>61</v>
      </c>
      <c r="B19" s="18">
        <f>B18/(1+Assumptions!B26)^(5-0.5*Assumptions!B32)</f>
        <v>15509564463.025572</v>
      </c>
    </row>
    <row r="20" spans="1:2" x14ac:dyDescent="0.25">
      <c r="A20" t="s">
        <v>62</v>
      </c>
      <c r="B20" s="18">
        <f>Forecast!B17+B19</f>
        <v>20733082628.136497</v>
      </c>
    </row>
    <row r="21" spans="1:2" x14ac:dyDescent="0.25">
      <c r="A21" t="s">
        <v>63</v>
      </c>
      <c r="B21" s="18">
        <f>-Assumptions!B30</f>
        <v>-8974316000</v>
      </c>
    </row>
    <row r="22" spans="1:2" x14ac:dyDescent="0.25">
      <c r="A22" t="s">
        <v>64</v>
      </c>
      <c r="B22" s="18">
        <f>B20+B21</f>
        <v>11758766628.136497</v>
      </c>
    </row>
    <row r="23" spans="1:2" x14ac:dyDescent="0.25">
      <c r="A23" s="19" t="s">
        <v>65</v>
      </c>
      <c r="B23" s="25">
        <f>B22/Assumptions!B31</f>
        <v>40.38168690087753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38.69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49.857642805594374</v>
      </c>
    </row>
    <row r="29" spans="1:2" x14ac:dyDescent="0.25">
      <c r="A29" s="19" t="s">
        <v>73</v>
      </c>
      <c r="B29" s="12">
        <f>B28/B26-1</f>
        <v>0.28864416659587433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0.031641</v>
      </c>
      <c r="B5" s="31">
        <v>134.40924478587522</v>
      </c>
      <c r="C5" s="31">
        <v>167.80643423144156</v>
      </c>
      <c r="D5" s="31">
        <v>250.9683541617905</v>
      </c>
      <c r="E5" s="31">
        <v>838.7828517869998</v>
      </c>
      <c r="F5" s="31" t="s">
        <v>76</v>
      </c>
    </row>
    <row r="6" spans="1:6" x14ac:dyDescent="0.25">
      <c r="A6" s="30">
        <v>0.041641</v>
      </c>
      <c r="B6" s="31">
        <v>75.12117899154063</v>
      </c>
      <c r="C6" s="31">
        <v>80.16284088695485</v>
      </c>
      <c r="D6" s="31">
        <v>88.03367874569345</v>
      </c>
      <c r="E6" s="31">
        <v>102.37922469127382</v>
      </c>
      <c r="F6" s="31">
        <v>137.8238758480186</v>
      </c>
    </row>
    <row r="7" spans="1:6" x14ac:dyDescent="0.25">
      <c r="A7" s="30">
        <v>0.051641</v>
      </c>
      <c r="B7" s="31">
        <v>49.245243088580416</v>
      </c>
      <c r="C7" s="31">
        <v>49.55128326427299</v>
      </c>
      <c r="D7" s="32">
        <v>49.857323439965576</v>
      </c>
      <c r="E7" s="31">
        <v>50.163363615658156</v>
      </c>
      <c r="F7" s="31">
        <v>50.46940379135074</v>
      </c>
    </row>
    <row r="8" spans="1:6" x14ac:dyDescent="0.25">
      <c r="A8" s="30">
        <v>0.061641</v>
      </c>
      <c r="B8" s="31">
        <v>36.59398208752939</v>
      </c>
      <c r="C8" s="31">
        <v>36.83968348823553</v>
      </c>
      <c r="D8" s="31">
        <v>37.08538488894161</v>
      </c>
      <c r="E8" s="31">
        <v>37.331086289647736</v>
      </c>
      <c r="F8" s="31">
        <v>37.57678769035385</v>
      </c>
    </row>
    <row r="9" spans="1:6" x14ac:dyDescent="0.25">
      <c r="A9" s="30">
        <v>0.071641</v>
      </c>
      <c r="B9" s="31">
        <v>27.472175322525135</v>
      </c>
      <c r="C9" s="31">
        <v>27.6748471087561</v>
      </c>
      <c r="D9" s="31">
        <v>27.877518894987055</v>
      </c>
      <c r="E9" s="31">
        <v>28.080190681218046</v>
      </c>
      <c r="F9" s="31">
        <v>28.282862467449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19627602000</v>
      </c>
      <c r="C5" s="18">
        <v>19335909000</v>
      </c>
      <c r="D5" s="18">
        <v>19453617000</v>
      </c>
      <c r="E5" s="18">
        <v>19398017000</v>
      </c>
      <c r="F5" s="8" t="s">
        <v>85</v>
      </c>
    </row>
    <row r="6" spans="1:6" x14ac:dyDescent="0.25">
      <c r="A6" t="s">
        <v>44</v>
      </c>
      <c r="B6" s="18">
        <v>1826824000</v>
      </c>
      <c r="C6" s="18">
        <v>1467380000</v>
      </c>
      <c r="D6" s="18">
        <v>1476644000</v>
      </c>
      <c r="E6" s="18">
        <v>1454734000</v>
      </c>
      <c r="F6" s="8" t="s">
        <v>86</v>
      </c>
    </row>
    <row r="7" spans="1:6" x14ac:dyDescent="0.25">
      <c r="A7" t="s">
        <v>87</v>
      </c>
      <c r="B7" s="18">
        <v>1500409000</v>
      </c>
      <c r="C7" s="18">
        <v>1742257000</v>
      </c>
      <c r="D7" s="18">
        <v>1751971000</v>
      </c>
      <c r="E7" s="18">
        <v>1838363000</v>
      </c>
      <c r="F7" s="8" t="s">
        <v>88</v>
      </c>
    </row>
    <row r="8" spans="1:6" x14ac:dyDescent="0.25">
      <c r="A8" t="s">
        <v>89</v>
      </c>
      <c r="B8" s="18">
        <v>915369000</v>
      </c>
      <c r="C8" s="18">
        <v>699358000</v>
      </c>
      <c r="D8" s="18">
        <v>684596000</v>
      </c>
      <c r="E8" s="18">
        <v>723988000</v>
      </c>
      <c r="F8" s="8" t="s">
        <v>90</v>
      </c>
    </row>
    <row r="9" spans="1:6" x14ac:dyDescent="0.25">
      <c r="A9" t="s">
        <v>91</v>
      </c>
      <c r="B9" s="18">
        <v>-138238000</v>
      </c>
      <c r="C9" s="18">
        <v>-444313000</v>
      </c>
      <c r="D9" s="18">
        <v>-561276000</v>
      </c>
      <c r="E9" s="18">
        <v>128067000</v>
      </c>
      <c r="F9" s="8" t="s">
        <v>92</v>
      </c>
    </row>
    <row r="10" spans="1:6" x14ac:dyDescent="0.25">
      <c r="A10" t="s">
        <v>93</v>
      </c>
      <c r="B10" s="18">
        <v>10795605000</v>
      </c>
      <c r="C10" s="18">
        <v>10978908000</v>
      </c>
      <c r="D10" s="18">
        <v>12050412000</v>
      </c>
      <c r="E10" s="18">
        <v>13192326000</v>
      </c>
      <c r="F10" s="8" t="s">
        <v>94</v>
      </c>
    </row>
    <row r="11" spans="1:6" x14ac:dyDescent="0.25">
      <c r="A11" t="s">
        <v>95</v>
      </c>
      <c r="B11" s="18">
        <v>1821289000</v>
      </c>
      <c r="C11" s="18">
        <v>1446576000</v>
      </c>
      <c r="D11" s="18">
        <v>1513311000</v>
      </c>
      <c r="E11" s="18">
        <v>1428663000</v>
      </c>
      <c r="F11" s="8" t="s">
        <v>96</v>
      </c>
    </row>
    <row r="12" spans="1:6" x14ac:dyDescent="0.25">
      <c r="A12" t="s">
        <v>32</v>
      </c>
      <c r="B12" s="34">
        <v>291190575</v>
      </c>
      <c r="C12" s="34">
        <v>293413449</v>
      </c>
      <c r="D12" s="34">
        <v>293413449</v>
      </c>
      <c r="E12" s="34">
        <v>293246430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