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<sst xmlns="http://schemas.openxmlformats.org/spreadsheetml/2006/main" count="114" uniqueCount="102">
  <si>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Fortescue Ltd (FMG.AX)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</si>
  <si>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</si>
  <si>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</si>
  <si>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</si>
  <si>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</si>
  <si>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</si>
  <si>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</si>
  <si>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</si>
  <si>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</si>
  <si>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</si>
  <si>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</si>
  <si>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</si>
  <si>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</si>
  <si>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</si>
  <si>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</si>
  <si>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</si>
  <si>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</si>
  <si>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</si>
  <si>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</si>
  <si>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</si>
  <si>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</si>
  <si>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</si>
  <si>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</si>
  <si>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</si>
  <si>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</si>
  <si>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</si>
  <si>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</si>
  <si>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</si>
  <si>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</si>
  <si>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</si>
  <si>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2026-06-30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</si>
  <si>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</si>
  <si>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</si>
  <si>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</si>
  <si>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</si>
  <si>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</si>
  <si>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</si>
  <si>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</si>
  <si>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</si>
  <si>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</si>
  <si>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</si>
  <si>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</si>
  <si>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</si>
  <si>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</si>
  <si>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</si>
  <si>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</si>
  <si>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</si>
  <si>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</si>
  <si>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</si>
  <si>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</si>
  <si>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</si>
  <si>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</si>
  <si>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</si>
  <si>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</si>
  <si>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</si>
  <si>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</si>
  <si>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</si>
  <si>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</si>
  <si>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</si>
  <si>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</si>
  <si>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</si>
  <si>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</si>
  <si>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</si>
  <si>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</si>
  <si>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</si>
  <si>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</si>
  <si>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</si>
  <si>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</si>
  <si>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</si>
  <si>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</si>
  <si>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USD to AUD</t>
  </si>
  <si>
    <t>USD/AUD at 1.4042</t>
  </si>
  <si>
    <t>Value per share (AUD)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</si>
  <si>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</si>
  <si>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</si>
  <si>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</si>
  <si>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</si>
  <si>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</si>
  <si>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</si>
  <si>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</si>
  <si>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</si>
  <si>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</si>
  <si>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</si>
  <si>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</si>
  <si>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</si>
  <si>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</si>
  <si>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</si>
  <si>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</si>
  <si>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</si>
  <si>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</si>
  <si>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</si>
  <si>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</si>
  <si>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</si>
  <si>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</si>
  <si>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</si>
  <si>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</si>
  <si>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</si>
  <si>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</si>
  <si>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</si>
  <si>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Reports in USD, trades in AUD. Modelled in USD, converted at the end.</t>
  </si>
  <si>
    <t>Adjusted: Capital expenditure runs at 18.4% of revenue against depreciation of 13.9%.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</si>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</sst>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0.0010913789790680806</v>
      </c>
    </row>
    <row r="7" spans="1:2" x14ac:dyDescent="0.25">
      <c r="A7" t="s">
        <v>5</v>
      </c>
      <c r="B7" s="6">
        <v>0.39100917865555096</v>
      </c>
    </row>
    <row r="8" spans="1:2" x14ac:dyDescent="0.25">
      <c r="A8" t="s">
        <v>6</v>
      </c>
      <c r="B8" s="6">
        <v>0.3</v>
      </c>
    </row>
    <row r="9" spans="1:2" x14ac:dyDescent="0.25">
      <c r="A9" t="s">
        <v>7</v>
      </c>
      <c r="B9" s="6">
        <v>0.138860151456705</v>
      </c>
    </row>
    <row r="10" spans="1:2" x14ac:dyDescent="0.25">
      <c r="A10" t="s">
        <v>8</v>
      </c>
      <c r="B10" s="6">
        <v>0.18357979512962389</v>
      </c>
    </row>
    <row r="11" spans="1:2" x14ac:dyDescent="0.25">
      <c r="A11" t="s">
        <v>9</v>
      </c>
      <c r="B11" s="6">
        <v>0.028268551236749116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6.541104547589308</v>
      </c>
    </row>
    <row r="14" spans="1:3" x14ac:dyDescent="0.25">
      <c r="A14" t="s">
        <v>12</v>
      </c>
      <c r="B14" s="6">
        <v>0.19207920062218298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0.83652</v>
      </c>
      <c r="C19" s="8" t="s">
        <v>19</v>
      </c>
    </row>
    <row r="20" spans="1:2" x14ac:dyDescent="0.25">
      <c r="A20" t="s">
        <v>20</v>
      </c>
      <c r="B20" s="10">
        <f>B17+B19*B18</f>
        <v>0.10367119999999999</v>
      </c>
    </row>
    <row r="21" spans="1:3" x14ac:dyDescent="0.25">
      <c r="A21" t="s">
        <v>21</v>
      </c>
      <c r="B21" s="6">
        <v>0.05348</v>
      </c>
      <c r="C21" s="8" t="s">
        <v>22</v>
      </c>
    </row>
    <row r="22" spans="1:2" x14ac:dyDescent="0.25">
      <c r="A22" t="s">
        <v>23</v>
      </c>
      <c r="B22" s="11">
        <v>51511083008</v>
      </c>
    </row>
    <row r="23" spans="1:2" x14ac:dyDescent="0.25">
      <c r="A23" t="s">
        <v>24</v>
      </c>
      <c r="B23" s="11">
        <v>5931000000</v>
      </c>
    </row>
    <row r="24" spans="1:2" x14ac:dyDescent="0.25">
      <c r="A24" t="s">
        <v>25</v>
      </c>
      <c r="B24" s="10">
        <f>B22/(B22+B23)</f>
        <v>0.8967481733005054</v>
      </c>
    </row>
    <row r="25" spans="1:2" x14ac:dyDescent="0.25">
      <c r="A25" t="s">
        <v>26</v>
      </c>
      <c r="B25" s="10">
        <f>1-B24</f>
        <v>0.10325182669949462</v>
      </c>
    </row>
    <row r="26" spans="1:2" x14ac:dyDescent="0.25">
      <c r="A26" t="s">
        <v>27</v>
      </c>
      <c r="B26" s="12">
        <f>B24*B20+B25*B21*(1-B8)</f>
        <v>0.09683229460819362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16835000000</v>
      </c>
      <c r="C29" s="8" t="s">
        <v>30</v>
      </c>
    </row>
    <row r="30" spans="1:2" x14ac:dyDescent="0.25">
      <c r="A30" t="s">
        <v>31</v>
      </c>
      <c r="B30" s="11">
        <v>857000000</v>
      </c>
    </row>
    <row r="31" spans="1:2" x14ac:dyDescent="0.25">
      <c r="A31" t="s">
        <v>32</v>
      </c>
      <c r="B31" s="13">
        <v>3082706767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0.0010913789790680806</v>
      </c>
      <c r="C5" s="10">
        <f>Assumptions!B6</f>
        <v>0.0010913789790680806</v>
      </c>
      <c r="D5" s="10">
        <f>Assumptions!B6</f>
        <v>0.0010913789790680806</v>
      </c>
      <c r="E5" s="10">
        <f>Assumptions!B6</f>
        <v>0.0010913789790680806</v>
      </c>
      <c r="F5" s="10">
        <f>Assumptions!B6</f>
        <v>0.0010913789790680806</v>
      </c>
    </row>
    <row r="6" spans="1:6" x14ac:dyDescent="0.25">
      <c r="A6" t="s">
        <v>43</v>
      </c>
      <c r="B6" s="18">
        <f>Assumptions!B29*(1+B5)</f>
        <v>16853373365.112612</v>
      </c>
      <c r="C6" s="18">
        <f>B6*(1+C5)</f>
        <v>16871766782.529682</v>
      </c>
      <c r="D6" s="18">
        <f>C6*(1+D5)</f>
        <v>16890180274.135874</v>
      </c>
      <c r="E6" s="18">
        <f>D6*(1+E5)</f>
        <v>16908613861.839737</v>
      </c>
      <c r="F6" s="18">
        <f>E6*(1+F5)</f>
        <v>16927067567.573729</v>
      </c>
    </row>
    <row r="7" spans="1:6" x14ac:dyDescent="0.25">
      <c r="A7" t="s">
        <v>5</v>
      </c>
      <c r="B7" s="10">
        <f>Assumptions!B7</f>
        <v>0.39100917865555096</v>
      </c>
      <c r="C7" s="10">
        <f>Assumptions!B7</f>
        <v>0.39100917865555096</v>
      </c>
      <c r="D7" s="10">
        <f>Assumptions!B7</f>
        <v>0.39100917865555096</v>
      </c>
      <c r="E7" s="10">
        <f>Assumptions!B7</f>
        <v>0.39100917865555096</v>
      </c>
      <c r="F7" s="10">
        <f>Assumptions!B7</f>
        <v>0.39100917865555096</v>
      </c>
    </row>
    <row r="8" spans="1:6" x14ac:dyDescent="0.25">
      <c r="A8" t="s">
        <v>44</v>
      </c>
      <c r="B8" s="18">
        <f>B6*B7</f>
        <v>6589823677.068021</v>
      </c>
      <c r="C8" s="18">
        <f>C6*C7</f>
        <v>6597015672.1049385</v>
      </c>
      <c r="D8" s="18">
        <f>D6*D7</f>
        <v>6604215516.334057</v>
      </c>
      <c r="E8" s="18">
        <f>E6*E7</f>
        <v>6611423218.321819</v>
      </c>
      <c r="F8" s="18">
        <f>F6*F7</f>
        <v>6618638786.644018</v>
      </c>
    </row>
    <row r="9" spans="1:6" x14ac:dyDescent="0.25">
      <c r="A9" t="s">
        <v>45</v>
      </c>
      <c r="B9" s="18">
        <f>B8*(1-Assumptions!B8)</f>
        <v>4612876573.947615</v>
      </c>
      <c r="C9" s="18">
        <f>C8*(1-Assumptions!B8)</f>
        <v>4617910970.473456</v>
      </c>
      <c r="D9" s="18">
        <f>D8*(1-Assumptions!B8)</f>
        <v>4622950861.43384</v>
      </c>
      <c r="E9" s="18">
        <f>E8*(1-Assumptions!B8)</f>
        <v>4627996252.8252735</v>
      </c>
      <c r="F9" s="18">
        <f>F8*(1-Assumptions!B8)</f>
        <v>4633047150.650812</v>
      </c>
    </row>
    <row r="10" spans="1:6" x14ac:dyDescent="0.25">
      <c r="A10" t="s">
        <v>46</v>
      </c>
      <c r="B10" s="18">
        <f>B6*Assumptions!B9</f>
        <v>2340261978.0359354</v>
      </c>
      <c r="C10" s="18">
        <f>C6*Assumptions!B9</f>
        <v>2342816090.764276</v>
      </c>
      <c r="D10" s="18">
        <f>D6*Assumptions!B9</f>
        <v>2345372990.9975586</v>
      </c>
      <c r="E10" s="18">
        <f>E6*Assumptions!B9</f>
        <v>2347932681.7780075</v>
      </c>
      <c r="F10" s="18">
        <f>F6*Assumptions!B9</f>
        <v>2350495166.151167</v>
      </c>
    </row>
    <row r="11" spans="1:6" x14ac:dyDescent="0.25">
      <c r="A11" t="s">
        <v>47</v>
      </c>
      <c r="B11" s="18">
        <f>-B6*Assumptions!B10</f>
        <v>-3093938829.610433</v>
      </c>
      <c r="C11" s="18">
        <f>-C6*Assumptions!B10</f>
        <v>-3097315489.4115925</v>
      </c>
      <c r="D11" s="18">
        <f>-D6*Assumptions!B10</f>
        <v>-3100695834.4282784</v>
      </c>
      <c r="E11" s="18">
        <f>-E6*Assumptions!B10</f>
        <v>-3104079868.6824574</v>
      </c>
      <c r="F11" s="18">
        <f>-F6*Assumptions!B10</f>
        <v>-3107467596.200486</v>
      </c>
    </row>
    <row r="12" spans="1:6" x14ac:dyDescent="0.25">
      <c r="A12" t="s">
        <v>48</v>
      </c>
      <c r="B12" s="18">
        <f>-(B6-Assumptions!B29)*Assumptions!B11</f>
        <v>-519388.41307736456</v>
      </c>
      <c r="C12" s="18">
        <f>-(C6-B6)*Assumptions!B11</f>
        <v>-519955.26267336786</v>
      </c>
      <c r="D12" s="18">
        <f>-(D6-C6)*Assumptions!B11</f>
        <v>-520522.73091707804</v>
      </c>
      <c r="E12" s="18">
        <f>-(E6-D6)*Assumptions!B11</f>
        <v>-521090.8184837638</v>
      </c>
      <c r="F12" s="18">
        <f>-(F6-E6)*Assumptions!B11</f>
        <v>-521659.52604923316</v>
      </c>
    </row>
    <row r="13" spans="1:6" x14ac:dyDescent="0.25">
      <c r="A13" s="19" t="s">
        <v>49</v>
      </c>
      <c r="B13" s="20">
        <f>B9+B10+B11+B12</f>
        <v>3858680333.9600396</v>
      </c>
      <c r="C13" s="20">
        <f>C9+C10+C11+C12</f>
        <v>3862891616.563466</v>
      </c>
      <c r="D13" s="20">
        <f>D9+D10+D11+D12</f>
        <v>3867107495.272203</v>
      </c>
      <c r="E13" s="20">
        <f>E9+E10+E11+E12</f>
        <v>3871327975.1023397</v>
      </c>
      <c r="F13" s="20">
        <f>F9+F10+F11+F12</f>
        <v>3875553061.0754437</v>
      </c>
    </row>
    <row r="14" spans="1:6" x14ac:dyDescent="0.25">
      <c r="A14" t="s">
        <v>50</v>
      </c>
      <c r="B14" s="21">
        <f>1/(1+Assumptions!$B$26)^(1-0.5*Assumptions!$B$32)</f>
        <v>0.9548384199252791</v>
      </c>
      <c r="C14" s="21">
        <f>1/(1+Assumptions!$B$26)^(2-0.5*Assumptions!$B$32)</f>
        <v>0.8705418545926048</v>
      </c>
      <c r="D14" s="21">
        <f>1/(1+Assumptions!$B$26)^(3-0.5*Assumptions!$B$32)</f>
        <v>0.7936872928268186</v>
      </c>
      <c r="E14" s="21">
        <f>1/(1+Assumptions!$B$26)^(4-0.5*Assumptions!$B$32)</f>
        <v>0.7236177278225898</v>
      </c>
      <c r="F14" s="21">
        <f>1/(1+Assumptions!$B$26)^(5-0.5*Assumptions!$B$32)</f>
        <v>0.6597341556952221</v>
      </c>
    </row>
    <row r="15" spans="1:6" x14ac:dyDescent="0.25">
      <c r="A15" s="19" t="s">
        <v>51</v>
      </c>
      <c r="B15" s="20">
        <f>B13*B14</f>
        <v>3684416233.0751524</v>
      </c>
      <c r="C15" s="20">
        <f>C13*C14</f>
        <v>3362808831.973385</v>
      </c>
      <c r="D15" s="20">
        <f>D13*D14</f>
        <v>3069274078.992894</v>
      </c>
      <c r="E15" s="20">
        <f>E13*E14</f>
        <v>2801361552.999583</v>
      </c>
      <c r="F15" s="20">
        <f>F13*F14</f>
        <v>2556834726.6006413</v>
      </c>
    </row>
    <row r="17" spans="1:2" x14ac:dyDescent="0.25">
      <c r="A17" s="22" t="s">
        <v>52</v>
      </c>
      <c r="B17" s="23">
        <f>SUM(B15:F15)</f>
        <v>15474695423.641655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3875553061.0754437</v>
      </c>
    </row>
    <row r="5" spans="1:2" x14ac:dyDescent="0.25">
      <c r="A5" t="s">
        <v>56</v>
      </c>
      <c r="B5" s="18">
        <f>IF(Assumptions!$B$33=0,B4,B4-Forecast!F11-Forecast!F10-Forecast!F12)</f>
        <v>4633047150.650812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0.13015464412086264</v>
      </c>
    </row>
    <row r="7" spans="1:2" x14ac:dyDescent="0.25">
      <c r="A7" t="s">
        <v>58</v>
      </c>
      <c r="B7" s="18">
        <f>-MAX(Forecast!F9,0)*B6</f>
        <v>-603012603.0881331</v>
      </c>
    </row>
    <row r="8" spans="1:2" x14ac:dyDescent="0.25">
      <c r="A8" t="s">
        <v>59</v>
      </c>
      <c r="B8" s="18">
        <f>IF(OR(Assumptions!$B$33=0,Assumptions!B12&lt;=0),B5,MAX(B5+B7,0))</f>
        <v>4030034547.5626793</v>
      </c>
    </row>
    <row r="9" spans="1:2" x14ac:dyDescent="0.25">
      <c r="A9" t="s">
        <v>60</v>
      </c>
      <c r="B9" s="18">
        <f>B8*(1+Assumptions!B12)/(Assumptions!B26-Assumptions!B12)</f>
        <v>57505964883.66339</v>
      </c>
    </row>
    <row r="10" spans="1:2" x14ac:dyDescent="0.25">
      <c r="A10" t="s">
        <v>61</v>
      </c>
      <c r="B10" s="18">
        <f>B9/(1+Assumptions!B26)^(5-0.5*Assumptions!B32)</f>
        <v>37938649189.96276</v>
      </c>
    </row>
    <row r="11" spans="1:2" x14ac:dyDescent="0.25">
      <c r="A11" t="s">
        <v>62</v>
      </c>
      <c r="B11" s="18">
        <f>Forecast!B17+B10</f>
        <v>53413344613.604416</v>
      </c>
    </row>
    <row r="12" spans="1:2" x14ac:dyDescent="0.25">
      <c r="A12" t="s">
        <v>63</v>
      </c>
      <c r="B12" s="18">
        <f>-Assumptions!B30</f>
        <v>-857000000</v>
      </c>
    </row>
    <row r="13" spans="1:2" x14ac:dyDescent="0.25">
      <c r="A13" t="s">
        <v>64</v>
      </c>
      <c r="B13" s="18">
        <f>B11+B12</f>
        <v>52556344613.604416</v>
      </c>
    </row>
    <row r="14" spans="1:2" x14ac:dyDescent="0.25">
      <c r="A14" s="19" t="s">
        <v>65</v>
      </c>
      <c r="B14" s="24">
        <f>B13/Assumptions!B31</f>
        <v>17.048765447370368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8969133952.795185</v>
      </c>
    </row>
    <row r="18" spans="1:2" x14ac:dyDescent="0.25">
      <c r="A18" t="s">
        <v>60</v>
      </c>
      <c r="B18" s="18">
        <f>B17*Assumptions!B13</f>
        <v>58668042886.56625</v>
      </c>
    </row>
    <row r="19" spans="1:2" x14ac:dyDescent="0.25">
      <c r="A19" t="s">
        <v>61</v>
      </c>
      <c r="B19" s="18">
        <f>B18/(1+Assumptions!B26)^(5-0.5*Assumptions!B32)</f>
        <v>38705311740.05987</v>
      </c>
    </row>
    <row r="20" spans="1:2" x14ac:dyDescent="0.25">
      <c r="A20" t="s">
        <v>62</v>
      </c>
      <c r="B20" s="18">
        <f>Forecast!B17+B19</f>
        <v>54180007163.70152</v>
      </c>
    </row>
    <row r="21" spans="1:2" x14ac:dyDescent="0.25">
      <c r="A21" t="s">
        <v>63</v>
      </c>
      <c r="B21" s="18">
        <f>-Assumptions!B30</f>
        <v>-857000000</v>
      </c>
    </row>
    <row r="22" spans="1:2" x14ac:dyDescent="0.25">
      <c r="A22" t="s">
        <v>64</v>
      </c>
      <c r="B22" s="18">
        <f>B20+B21</f>
        <v>53323007163.70152</v>
      </c>
    </row>
    <row r="23" spans="1:2" x14ac:dyDescent="0.25">
      <c r="A23" s="19" t="s">
        <v>65</v>
      </c>
      <c r="B23" s="25">
        <f>B22/Assumptions!B31</f>
        <v>17.297463298980563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16.73</v>
      </c>
    </row>
    <row r="27" spans="1:3" x14ac:dyDescent="0.25">
      <c r="A27" t="s">
        <v>70</v>
      </c>
      <c r="B27" s="27">
        <v>1.4042</v>
      </c>
      <c r="C27" s="8" t="s">
        <v>71</v>
      </c>
    </row>
    <row r="28" spans="1:2" x14ac:dyDescent="0.25">
      <c r="A28" t="s">
        <v>72</v>
      </c>
      <c r="B28" s="28">
        <f>B14*B27</f>
        <v>23.93987644119747</v>
      </c>
    </row>
    <row r="29" spans="1:2" x14ac:dyDescent="0.25">
      <c r="A29" s="19" t="s">
        <v>73</v>
      </c>
      <c r="B29" s="12">
        <f>B28/B26-1</f>
        <v>0.4309549576328433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0.076832</v>
      </c>
      <c r="B5" s="31">
        <v>21.263153987307607</v>
      </c>
      <c r="C5" s="31">
        <v>22.281409963573687</v>
      </c>
      <c r="D5" s="31">
        <v>23.490709550647114</v>
      </c>
      <c r="E5" s="31">
        <v>24.95224283569288</v>
      </c>
      <c r="F5" s="31">
        <v>26.756455063250684</v>
      </c>
    </row>
    <row r="6" spans="1:6" x14ac:dyDescent="0.25">
      <c r="A6" s="30">
        <v>0.086832</v>
      </c>
      <c r="B6" s="31">
        <v>18.309789201190817</v>
      </c>
      <c r="C6" s="31">
        <v>18.97754655223713</v>
      </c>
      <c r="D6" s="31">
        <v>19.748949427359342</v>
      </c>
      <c r="E6" s="31">
        <v>20.65135359199134</v>
      </c>
      <c r="F6" s="31">
        <v>21.722670362359544</v>
      </c>
    </row>
    <row r="7" spans="1:6" x14ac:dyDescent="0.25">
      <c r="A7" s="30">
        <v>0.096832</v>
      </c>
      <c r="B7" s="31">
        <v>16.079779174283363</v>
      </c>
      <c r="C7" s="31">
        <v>16.53445459654734</v>
      </c>
      <c r="D7" s="32">
        <v>17.048833923198174</v>
      </c>
      <c r="E7" s="31">
        <v>17.636317300360524</v>
      </c>
      <c r="F7" s="31">
        <v>18.314639246692575</v>
      </c>
    </row>
    <row r="8" spans="1:6" x14ac:dyDescent="0.25">
      <c r="A8" s="30">
        <v>0.106832</v>
      </c>
      <c r="B8" s="31">
        <v>14.3367176390732</v>
      </c>
      <c r="C8" s="31">
        <v>14.654681923740622</v>
      </c>
      <c r="D8" s="31">
        <v>15.008474104767302</v>
      </c>
      <c r="E8" s="31">
        <v>15.405088903693594</v>
      </c>
      <c r="F8" s="31">
        <v>15.853468564484507</v>
      </c>
    </row>
    <row r="9" spans="1:6" x14ac:dyDescent="0.25">
      <c r="A9" s="30">
        <v>0.116832</v>
      </c>
      <c r="B9" s="31">
        <v>12.937065822116287</v>
      </c>
      <c r="C9" s="31">
        <v>13.163653870921346</v>
      </c>
      <c r="D9" s="31">
        <v>13.41232500892346</v>
      </c>
      <c r="E9" s="31">
        <v>13.686894031796532</v>
      </c>
      <c r="F9" s="31">
        <v>13.992108083360394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16835000000</v>
      </c>
      <c r="C5" s="18">
        <v>15420000000</v>
      </c>
      <c r="D5" s="18">
        <v>18109000000</v>
      </c>
      <c r="E5" s="18">
        <v>16780000000</v>
      </c>
      <c r="F5" s="8" t="s">
        <v>84</v>
      </c>
    </row>
    <row r="6" spans="1:6" x14ac:dyDescent="0.25">
      <c r="A6" t="s">
        <v>44</v>
      </c>
      <c r="B6" s="18">
        <v>5134000000</v>
      </c>
      <c r="C6" s="18">
        <v>5010000000</v>
      </c>
      <c r="D6" s="18">
        <v>8374000000</v>
      </c>
      <c r="E6" s="18">
        <v>7916000000</v>
      </c>
      <c r="F6" s="8" t="s">
        <v>85</v>
      </c>
    </row>
    <row r="7" spans="1:6" x14ac:dyDescent="0.25">
      <c r="A7" t="s">
        <v>86</v>
      </c>
      <c r="B7" s="18">
        <v>2872000000</v>
      </c>
      <c r="C7" s="18">
        <v>2506000000</v>
      </c>
      <c r="D7" s="18">
        <v>2144000000</v>
      </c>
      <c r="E7" s="18">
        <v>1744000000</v>
      </c>
      <c r="F7" s="8" t="s">
        <v>87</v>
      </c>
    </row>
    <row r="8" spans="1:6" x14ac:dyDescent="0.25">
      <c r="A8" t="s">
        <v>88</v>
      </c>
      <c r="B8" s="18">
        <v>3282000000</v>
      </c>
      <c r="C8" s="18">
        <v>3238000000</v>
      </c>
      <c r="D8" s="18">
        <v>2834000000</v>
      </c>
      <c r="E8" s="18">
        <v>2901000000</v>
      </c>
      <c r="F8" s="8" t="s">
        <v>89</v>
      </c>
    </row>
    <row r="9" spans="1:6" x14ac:dyDescent="0.25">
      <c r="A9" t="s">
        <v>90</v>
      </c>
      <c r="B9" s="18">
        <v>40000000</v>
      </c>
      <c r="C9" s="18">
        <v>13000000</v>
      </c>
      <c r="D9" s="18">
        <v>379000000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5931000000</v>
      </c>
      <c r="C10" s="18">
        <v>5439000000</v>
      </c>
      <c r="D10" s="18">
        <v>5400000000</v>
      </c>
      <c r="E10" s="18">
        <v>5321000000</v>
      </c>
      <c r="F10" s="8" t="s">
        <v>93</v>
      </c>
    </row>
    <row r="11" spans="1:6" x14ac:dyDescent="0.25">
      <c r="A11" t="s">
        <v>94</v>
      </c>
      <c r="B11" s="18">
        <v>5074000000</v>
      </c>
      <c r="C11" s="18">
        <v>4328000000</v>
      </c>
      <c r="D11" s="18">
        <v>4903000000</v>
      </c>
      <c r="E11" s="18">
        <v>4287000000</v>
      </c>
      <c r="F11" s="8" t="s">
        <v>95</v>
      </c>
    </row>
    <row r="12" spans="1:6" x14ac:dyDescent="0.25">
      <c r="A12" t="s">
        <v>32</v>
      </c>
      <c r="B12" s="34">
        <v>3082706767</v>
      </c>
      <c r="C12" s="34">
        <v>3074807097</v>
      </c>
      <c r="D12" s="34">
        <v>3081887202</v>
      </c>
      <c r="E12" s="34">
        <v>3081567116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54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2026-09-19T00:07:01Z</dcterms:modified>
</cp:coreProperties>
</file>