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<sst xmlns="http://schemas.openxmlformats.org/spreadsheetml/2006/main" count="115" uniqueCount="103">
  <si>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Franco-Nevada Corporation (FNV.TO)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</si>
  <si>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</si>
  <si>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</si>
  <si>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</si>
  <si>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</si>
  <si>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</si>
  <si>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</si>
  <si>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</si>
  <si>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</si>
  <si>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</si>
  <si>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</si>
  <si>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</si>
  <si>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</si>
  <si>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</si>
  <si>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</si>
  <si>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</si>
  <si>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</si>
  <si>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</si>
  <si>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</si>
  <si>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</si>
  <si>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</si>
  <si>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</si>
  <si>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</si>
  <si>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</si>
  <si>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</si>
  <si>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</si>
  <si>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</si>
  <si>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</si>
  <si>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</si>
  <si>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</si>
  <si>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</si>
  <si>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</si>
  <si>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</si>
  <si>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</si>
  <si>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</si>
  <si>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</si>
  <si>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</si>
  <si>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</si>
  <si>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</si>
  <si>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</si>
  <si>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</si>
  <si>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</si>
  <si>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</si>
  <si>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</si>
  <si>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</si>
  <si>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</si>
  <si>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</si>
  <si>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</si>
  <si>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</si>
  <si>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</si>
  <si>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</si>
  <si>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</si>
  <si>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</si>
  <si>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</si>
  <si>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</si>
  <si>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</si>
  <si>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</si>
  <si>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</si>
  <si>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</si>
  <si>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</si>
  <si>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</si>
  <si>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</si>
  <si>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</si>
  <si>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</si>
  <si>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</si>
  <si>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</si>
  <si>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</si>
  <si>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</si>
  <si>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</si>
  <si>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</si>
  <si>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</si>
  <si>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</si>
  <si>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</si>
  <si>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</si>
  <si>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</si>
  <si>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</si>
  <si>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</si>
  <si>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</si>
  <si>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</si>
  <si>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</si>
  <si>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</si>
  <si>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</si>
  <si>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</si>
  <si>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</si>
  <si>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</si>
  <si>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</si>
  <si>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</si>
  <si>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</si>
  <si>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</si>
  <si>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</si>
  <si>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</si>
  <si>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</si>
  <si>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</si>
  <si>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derived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</si>
  <si>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</si>
  <si>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</si>
  <si>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</si>
  <si>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</si>
  <si>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</si>
  <si>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Adjusted: Capital expenditure runs at 52.7% of revenue against depreciation of 20.3%.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</si>
  <si>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</si>
  <si>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Current EV/EBITDA of 44.4x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</si>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</sst>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0.11479252608663693</v>
      </c>
    </row>
    <row r="7" spans="1:2" x14ac:dyDescent="0.25">
      <c r="A7" t="s">
        <v>5</v>
      </c>
      <c r="B7" s="6">
        <v>0.6484213532163936</v>
      </c>
    </row>
    <row r="8" spans="1:2" x14ac:dyDescent="0.25">
      <c r="A8" t="s">
        <v>6</v>
      </c>
      <c r="B8" s="6">
        <v>0.2146186440677966</v>
      </c>
    </row>
    <row r="9" spans="1:2" x14ac:dyDescent="0.25">
      <c r="A9" t="s">
        <v>7</v>
      </c>
      <c r="B9" s="6">
        <v>0.20303433073938407</v>
      </c>
    </row>
    <row r="10" spans="1:2" x14ac:dyDescent="0.25">
      <c r="A10" t="s">
        <v>8</v>
      </c>
      <c r="B10" s="6">
        <v>0.5267355807900317</v>
      </c>
    </row>
    <row r="11" spans="1:2" x14ac:dyDescent="0.25">
      <c r="A11" t="s">
        <v>9</v>
      </c>
      <c r="B11" s="6">
        <v>0.06308169596690796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0.10045728817528517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0.97186</v>
      </c>
      <c r="C19" s="8" t="s">
        <v>19</v>
      </c>
    </row>
    <row r="20" spans="1:2" x14ac:dyDescent="0.25">
      <c r="A20" t="s">
        <v>20</v>
      </c>
      <c r="B20" s="10">
        <f>B17+B19*B18</f>
        <v>0.0864523</v>
      </c>
    </row>
    <row r="21" spans="1:3" x14ac:dyDescent="0.25">
      <c r="A21" t="s">
        <v>21</v>
      </c>
      <c r="B21" s="6">
        <v>0.053000000000000005</v>
      </c>
      <c r="C21" s="8" t="s">
        <v>22</v>
      </c>
    </row>
    <row r="22" spans="1:2" x14ac:dyDescent="0.25">
      <c r="A22" t="s">
        <v>23</v>
      </c>
      <c r="B22" s="11">
        <v>72096227328</v>
      </c>
    </row>
    <row r="23" spans="1:2" x14ac:dyDescent="0.25">
      <c r="A23" t="s">
        <v>24</v>
      </c>
      <c r="B23" s="11">
        <v>0</v>
      </c>
    </row>
    <row r="24" spans="1:2" x14ac:dyDescent="0.25">
      <c r="A24" t="s">
        <v>25</v>
      </c>
      <c r="B24" s="10">
        <f>B22/(B22+B23)</f>
        <v>1</v>
      </c>
    </row>
    <row r="25" spans="1:2" x14ac:dyDescent="0.25">
      <c r="A25" t="s">
        <v>26</v>
      </c>
      <c r="B25" s="10">
        <f>1-B24</f>
        <v>0</v>
      </c>
    </row>
    <row r="26" spans="1:2" x14ac:dyDescent="0.25">
      <c r="A26" t="s">
        <v>27</v>
      </c>
      <c r="B26" s="12">
        <f>B24*B20+B25*B21*(1-B8)</f>
        <v>0.0864523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1822800000</v>
      </c>
      <c r="C29" s="8" t="s">
        <v>30</v>
      </c>
    </row>
    <row r="30" spans="1:2" x14ac:dyDescent="0.25">
      <c r="A30" t="s">
        <v>31</v>
      </c>
      <c r="B30" s="11">
        <v>-670900000</v>
      </c>
    </row>
    <row r="31" spans="1:2" x14ac:dyDescent="0.25">
      <c r="A31" t="s">
        <v>32</v>
      </c>
      <c r="B31" s="13">
        <v>193000000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0.11479252608663693</v>
      </c>
      <c r="C5" s="10">
        <f>Assumptions!B6</f>
        <v>0.11479252608663693</v>
      </c>
      <c r="D5" s="10">
        <f>Assumptions!B6</f>
        <v>0.11479252608663693</v>
      </c>
      <c r="E5" s="10">
        <f>Assumptions!B6</f>
        <v>0.11479252608663693</v>
      </c>
      <c r="F5" s="10">
        <f>Assumptions!B6</f>
        <v>0.11479252608663693</v>
      </c>
    </row>
    <row r="6" spans="1:6" x14ac:dyDescent="0.25">
      <c r="A6" t="s">
        <v>43</v>
      </c>
      <c r="B6" s="18">
        <f>Assumptions!B29*(1+B5)</f>
        <v>2032043816.550722</v>
      </c>
      <c r="C6" s="18">
        <f>B6*(1+C5)</f>
        <v>2265307259.3713098</v>
      </c>
      <c r="D6" s="18">
        <f>C6*(1+D5)</f>
        <v>2525347602.0369387</v>
      </c>
      <c r="E6" s="18">
        <f>D6*(1+E5)</f>
        <v>2815238632.5215898</v>
      </c>
      <c r="F6" s="18">
        <f>E6*(1+F5)</f>
        <v>3138406986.6854324</v>
      </c>
    </row>
    <row r="7" spans="1:6" x14ac:dyDescent="0.25">
      <c r="A7" t="s">
        <v>5</v>
      </c>
      <c r="B7" s="10">
        <f>Assumptions!B7</f>
        <v>0.6484213532163936</v>
      </c>
      <c r="C7" s="10">
        <f>Assumptions!B7</f>
        <v>0.6484213532163936</v>
      </c>
      <c r="D7" s="10">
        <f>Assumptions!B7</f>
        <v>0.6484213532163936</v>
      </c>
      <c r="E7" s="10">
        <f>Assumptions!B7</f>
        <v>0.6484213532163936</v>
      </c>
      <c r="F7" s="10">
        <f>Assumptions!B7</f>
        <v>0.6484213532163936</v>
      </c>
    </row>
    <row r="8" spans="1:6" x14ac:dyDescent="0.25">
      <c r="A8" t="s">
        <v>44</v>
      </c>
      <c r="B8" s="18">
        <f>B6*B7</f>
        <v>1317620601.3228242</v>
      </c>
      <c r="C8" s="18">
        <f>C6*C7</f>
        <v>1468873598.5724647</v>
      </c>
      <c r="D8" s="18">
        <f>D6*D7</f>
        <v>1637489309.4545665</v>
      </c>
      <c r="E8" s="18">
        <f>E6*E7</f>
        <v>1825460843.7267187</v>
      </c>
      <c r="F8" s="18">
        <f>F6*F7</f>
        <v>2035010105.2503524</v>
      </c>
    </row>
    <row r="9" spans="1:6" x14ac:dyDescent="0.25">
      <c r="A9" t="s">
        <v>45</v>
      </c>
      <c r="B9" s="18">
        <f>B8*(1-Assumptions!B8)</f>
        <v>1034834654.4711249</v>
      </c>
      <c r="C9" s="18">
        <f>C8*(1-Assumptions!B8)</f>
        <v>1153625938.5398574</v>
      </c>
      <c r="D9" s="18">
        <f>D8*(1-Assumptions!B8)</f>
        <v>1286053574.183915</v>
      </c>
      <c r="E9" s="18">
        <f>E8*(1-Assumptions!B8)</f>
        <v>1433682912.6472342</v>
      </c>
      <c r="F9" s="18">
        <f>F8*(1-Assumptions!B8)</f>
        <v>1598258995.7972577</v>
      </c>
    </row>
    <row r="10" spans="1:6" x14ac:dyDescent="0.25">
      <c r="A10" t="s">
        <v>46</v>
      </c>
      <c r="B10" s="18">
        <f>B6*Assumptions!B9</f>
        <v>412574656.32647955</v>
      </c>
      <c r="C10" s="18">
        <f>C6*Assumptions!B9</f>
        <v>459935143.3255222</v>
      </c>
      <c r="D10" s="18">
        <f>D6*Assumptions!B9</f>
        <v>512732260.2638783</v>
      </c>
      <c r="E10" s="18">
        <f>E6*Assumptions!B9</f>
        <v>571590091.6256797</v>
      </c>
      <c r="F10" s="18">
        <f>F6*Assumptions!B9</f>
        <v>637204362.1294838</v>
      </c>
    </row>
    <row r="11" spans="1:6" x14ac:dyDescent="0.25">
      <c r="A11" t="s">
        <v>47</v>
      </c>
      <c r="B11" s="18">
        <f>-B6*Assumptions!B10</f>
        <v>-1070349779.9016371</v>
      </c>
      <c r="C11" s="18">
        <f>-C6*Assumptions!B10</f>
        <v>-1193217934.9328218</v>
      </c>
      <c r="D11" s="18">
        <f>-D6*Assumptions!B10</f>
        <v>-1330190435.8556406</v>
      </c>
      <c r="E11" s="18">
        <f>-E6*Assumptions!B10</f>
        <v>-1482886356.1637943</v>
      </c>
      <c r="F11" s="18">
        <f>-F6*Assumptions!B10</f>
        <v>-1653110626.8872445</v>
      </c>
    </row>
    <row r="12" spans="1:6" x14ac:dyDescent="0.25">
      <c r="A12" t="s">
        <v>48</v>
      </c>
      <c r="B12" s="18">
        <f>-(B6-Assumptions!B29)*Assumptions!B11</f>
        <v>-13199454.818608103</v>
      </c>
      <c r="C12" s="18">
        <f>-(C6-B6)*Assumptions!B11</f>
        <v>-14714653.580202544</v>
      </c>
      <c r="D12" s="18">
        <f>-(D6-C6)*Assumptions!B11</f>
        <v>-16403785.835163768</v>
      </c>
      <c r="E12" s="18">
        <f>-(E6-D6)*Assumptions!B11</f>
        <v>-18286817.84856641</v>
      </c>
      <c r="F12" s="18">
        <f>-(F6-E6)*Assumptions!B11</f>
        <v>-20386007.86348956</v>
      </c>
    </row>
    <row r="13" spans="1:6" x14ac:dyDescent="0.25">
      <c r="A13" s="19" t="s">
        <v>49</v>
      </c>
      <c r="B13" s="20">
        <f>B9+B10+B11+B12</f>
        <v>363860076.0773594</v>
      </c>
      <c r="C13" s="20">
        <f>C9+C10+C11+C12</f>
        <v>405628493.3523553</v>
      </c>
      <c r="D13" s="20">
        <f>D9+D10+D11+D12</f>
        <v>452191612.7569888</v>
      </c>
      <c r="E13" s="20">
        <f>E9+E10+E11+E12</f>
        <v>504099830.26055324</v>
      </c>
      <c r="F13" s="20">
        <f>F9+F10+F11+F12</f>
        <v>561966723.1760076</v>
      </c>
    </row>
    <row r="14" spans="1:6" x14ac:dyDescent="0.25">
      <c r="A14" t="s">
        <v>50</v>
      </c>
      <c r="B14" s="21">
        <f>1/(1+Assumptions!$B$26)^(1-0.5*Assumptions!$B$32)</f>
        <v>0.9593888530440489</v>
      </c>
      <c r="C14" s="21">
        <f>1/(1+Assumptions!$B$26)^(2-0.5*Assumptions!$B$32)</f>
        <v>0.8830473763496556</v>
      </c>
      <c r="D14" s="21">
        <f>1/(1+Assumptions!$B$26)^(3-0.5*Assumptions!$B$32)</f>
        <v>0.8127806221678169</v>
      </c>
      <c r="E14" s="21">
        <f>1/(1+Assumptions!$B$26)^(4-0.5*Assumptions!$B$32)</f>
        <v>0.7481052064299711</v>
      </c>
      <c r="F14" s="21">
        <f>1/(1+Assumptions!$B$26)^(5-0.5*Assumptions!$B$32)</f>
        <v>0.6885762094018957</v>
      </c>
    </row>
    <row r="15" spans="1:6" x14ac:dyDescent="0.25">
      <c r="A15" s="19" t="s">
        <v>51</v>
      </c>
      <c r="B15" s="20">
        <f>B13*B14</f>
        <v>349083301.0563782</v>
      </c>
      <c r="C15" s="20">
        <f>C13*C14</f>
        <v>358189176.82746106</v>
      </c>
      <c r="D15" s="20">
        <f>D13*D14</f>
        <v>367532580.3556939</v>
      </c>
      <c r="E15" s="20">
        <f>E13*E14</f>
        <v>377119707.5783846</v>
      </c>
      <c r="F15" s="20">
        <f>F13*F14</f>
        <v>386956916.05453974</v>
      </c>
    </row>
    <row r="17" spans="1:2" x14ac:dyDescent="0.25">
      <c r="A17" s="22" t="s">
        <v>52</v>
      </c>
      <c r="B17" s="23">
        <f>SUM(B15:F15)</f>
        <v>1838881681.8724575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561966723.1760076</v>
      </c>
    </row>
    <row r="5" spans="1:2" x14ac:dyDescent="0.25">
      <c r="A5" t="s">
        <v>56</v>
      </c>
      <c r="B5" s="18">
        <f>IF(Assumptions!$B$33=0,B4,B4-Forecast!F11-Forecast!F10-Forecast!F12)</f>
        <v>1598258995.7972577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0.24886198357632536</v>
      </c>
    </row>
    <row r="7" spans="1:2" x14ac:dyDescent="0.25">
      <c r="A7" t="s">
        <v>58</v>
      </c>
      <c r="B7" s="18">
        <f>-MAX(Forecast!F9,0)*B6</f>
        <v>-397745903.9628114</v>
      </c>
    </row>
    <row r="8" spans="1:2" x14ac:dyDescent="0.25">
      <c r="A8" t="s">
        <v>59</v>
      </c>
      <c r="B8" s="18">
        <f>IF(OR(Assumptions!$B$33=0,Assumptions!B12&lt;=0),B5,MAX(B5+B7,0))</f>
        <v>1200513091.8344462</v>
      </c>
    </row>
    <row r="9" spans="1:2" x14ac:dyDescent="0.25">
      <c r="A9" t="s">
        <v>60</v>
      </c>
      <c r="B9" s="18">
        <f>B8*(1+Assumptions!B12)/(Assumptions!B26-Assumptions!B12)</f>
        <v>20024082404.243736</v>
      </c>
    </row>
    <row r="10" spans="1:2" x14ac:dyDescent="0.25">
      <c r="A10" t="s">
        <v>61</v>
      </c>
      <c r="B10" s="18">
        <f>B9/(1+Assumptions!B26)^(5-0.5*Assumptions!B32)</f>
        <v>13788106758.66535</v>
      </c>
    </row>
    <row r="11" spans="1:2" x14ac:dyDescent="0.25">
      <c r="A11" t="s">
        <v>62</v>
      </c>
      <c r="B11" s="18">
        <f>Forecast!B17+B10</f>
        <v>15626988440.537807</v>
      </c>
    </row>
    <row r="12" spans="1:2" x14ac:dyDescent="0.25">
      <c r="A12" t="s">
        <v>63</v>
      </c>
      <c r="B12" s="18">
        <f>-Assumptions!B30</f>
        <v>670900000</v>
      </c>
    </row>
    <row r="13" spans="1:2" x14ac:dyDescent="0.25">
      <c r="A13" t="s">
        <v>64</v>
      </c>
      <c r="B13" s="18">
        <f>B11+B12</f>
        <v>16297888440.537807</v>
      </c>
    </row>
    <row r="14" spans="1:2" x14ac:dyDescent="0.25">
      <c r="A14" s="19" t="s">
        <v>65</v>
      </c>
      <c r="B14" s="24">
        <f>B13/Assumptions!B31</f>
        <v>84.44501782662077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2672214467.379836</v>
      </c>
    </row>
    <row r="18" spans="1:2" x14ac:dyDescent="0.25">
      <c r="A18" t="s">
        <v>60</v>
      </c>
      <c r="B18" s="18">
        <f>B17*Assumptions!B13</f>
        <v>53444289347.596725</v>
      </c>
    </row>
    <row r="19" spans="1:2" x14ac:dyDescent="0.25">
      <c r="A19" t="s">
        <v>61</v>
      </c>
      <c r="B19" s="18">
        <f>B18/(1+Assumptions!B26)^(5-0.5*Assumptions!B32)</f>
        <v>36800466173.14626</v>
      </c>
    </row>
    <row r="20" spans="1:2" x14ac:dyDescent="0.25">
      <c r="A20" t="s">
        <v>62</v>
      </c>
      <c r="B20" s="18">
        <f>Forecast!B17+B19</f>
        <v>38639347855.01872</v>
      </c>
    </row>
    <row r="21" spans="1:2" x14ac:dyDescent="0.25">
      <c r="A21" t="s">
        <v>63</v>
      </c>
      <c r="B21" s="18">
        <f>-Assumptions!B30</f>
        <v>670900000</v>
      </c>
    </row>
    <row r="22" spans="1:2" x14ac:dyDescent="0.25">
      <c r="A22" t="s">
        <v>64</v>
      </c>
      <c r="B22" s="18">
        <f>B20+B21</f>
        <v>39310247855.01872</v>
      </c>
    </row>
    <row r="23" spans="1:2" x14ac:dyDescent="0.25">
      <c r="A23" s="19" t="s">
        <v>65</v>
      </c>
      <c r="B23" s="25">
        <f>B22/Assumptions!B31</f>
        <v>203.68004069957888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373.8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118.07102392518117</v>
      </c>
    </row>
    <row r="29" spans="1:2" x14ac:dyDescent="0.25">
      <c r="A29" s="19" t="s">
        <v>73</v>
      </c>
      <c r="B29" s="12">
        <f>B28/B26-1</f>
        <v>-0.6841331623189375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0.066452</v>
      </c>
      <c r="B5" s="31">
        <v>117.50648180120018</v>
      </c>
      <c r="C5" s="31">
        <v>122.49695952206854</v>
      </c>
      <c r="D5" s="31">
        <v>128.61691608187323</v>
      </c>
      <c r="E5" s="31">
        <v>136.3311320848074</v>
      </c>
      <c r="F5" s="31">
        <v>146.39993729199716</v>
      </c>
    </row>
    <row r="6" spans="1:6" x14ac:dyDescent="0.25">
      <c r="A6" s="30">
        <v>0.076452</v>
      </c>
      <c r="B6" s="31">
        <v>96.75640197177447</v>
      </c>
      <c r="C6" s="31">
        <v>99.25615645046129</v>
      </c>
      <c r="D6" s="31">
        <v>102.18424869712149</v>
      </c>
      <c r="E6" s="31">
        <v>105.67899496336108</v>
      </c>
      <c r="F6" s="31">
        <v>109.94544712348495</v>
      </c>
    </row>
    <row r="7" spans="1:6" x14ac:dyDescent="0.25">
      <c r="A7" s="30">
        <v>0.086452</v>
      </c>
      <c r="B7" s="31">
        <v>81.9107980760431</v>
      </c>
      <c r="C7" s="31">
        <v>83.10412779832699</v>
      </c>
      <c r="D7" s="32">
        <v>84.44546207546679</v>
      </c>
      <c r="E7" s="31">
        <v>85.97412756237006</v>
      </c>
      <c r="F7" s="31">
        <v>87.7447376491178</v>
      </c>
    </row>
    <row r="8" spans="1:6" x14ac:dyDescent="0.25">
      <c r="A8" s="30">
        <v>0.096452</v>
      </c>
      <c r="B8" s="31">
        <v>70.79009407678939</v>
      </c>
      <c r="C8" s="31">
        <v>71.25451191243371</v>
      </c>
      <c r="D8" s="31">
        <v>71.74581062878305</v>
      </c>
      <c r="E8" s="31">
        <v>72.27005796210679</v>
      </c>
      <c r="F8" s="31">
        <v>72.83529643754025</v>
      </c>
    </row>
    <row r="9" spans="1:6" x14ac:dyDescent="0.25">
      <c r="A9" s="30">
        <v>0.106452</v>
      </c>
      <c r="B9" s="31">
        <v>62.65853992458875</v>
      </c>
      <c r="C9" s="31">
        <v>62.905262804577085</v>
      </c>
      <c r="D9" s="31">
        <v>63.15198568456542</v>
      </c>
      <c r="E9" s="31">
        <v>63.39870856455374</v>
      </c>
      <c r="F9" s="31">
        <v>63.64543144454206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1822800000</v>
      </c>
      <c r="C5" s="18">
        <v>1113600000</v>
      </c>
      <c r="D5" s="18">
        <v>1219000000</v>
      </c>
      <c r="E5" s="18">
        <v>1315700000</v>
      </c>
      <c r="F5" s="8" t="s">
        <v>84</v>
      </c>
    </row>
    <row r="6" spans="1:6" x14ac:dyDescent="0.25">
      <c r="A6" t="s">
        <v>44</v>
      </c>
      <c r="B6" s="18">
        <v>1300900000</v>
      </c>
      <c r="C6" s="18">
        <v>724700000</v>
      </c>
      <c r="D6" s="18">
        <v>738700000</v>
      </c>
      <c r="E6" s="18">
        <v>820000000</v>
      </c>
      <c r="F6" s="8" t="s">
        <v>85</v>
      </c>
    </row>
    <row r="7" spans="1:6" x14ac:dyDescent="0.25">
      <c r="A7" t="s">
        <v>86</v>
      </c>
      <c r="B7" s="18">
        <v>306700000</v>
      </c>
      <c r="C7" s="18">
        <v>225300000</v>
      </c>
      <c r="D7" s="18">
        <v>273100000</v>
      </c>
      <c r="E7" s="18">
        <v>286200000</v>
      </c>
      <c r="F7" s="8" t="s">
        <v>87</v>
      </c>
    </row>
    <row r="8" spans="1:6" x14ac:dyDescent="0.25">
      <c r="A8" t="s">
        <v>88</v>
      </c>
      <c r="B8" s="18">
        <v>2196700000</v>
      </c>
      <c r="C8" s="18">
        <v>408000000</v>
      </c>
      <c r="D8" s="18">
        <v>521600000</v>
      </c>
      <c r="E8" s="18">
        <v>141500000</v>
      </c>
      <c r="F8" s="8" t="s">
        <v>89</v>
      </c>
    </row>
    <row r="9" spans="1:6" x14ac:dyDescent="0.25">
      <c r="A9" t="s">
        <v>90</v>
      </c>
      <c r="B9" s="18">
        <v>31000000</v>
      </c>
      <c r="C9" s="18">
        <v>-21400000</v>
      </c>
      <c r="D9" s="18">
        <v>-6100000</v>
      </c>
      <c r="E9" s="18">
        <v>10900000</v>
      </c>
      <c r="F9" s="8" t="s">
        <v>91</v>
      </c>
    </row>
    <row r="10" spans="1:6" x14ac:dyDescent="0.25">
      <c r="A10" t="s">
        <v>92</v>
      </c>
      <c r="B10" s="18">
        <v>0</v>
      </c>
      <c r="C10" s="18">
        <v>0</v>
      </c>
      <c r="D10" s="18">
        <v>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670900000</v>
      </c>
      <c r="C11" s="18">
        <v>1451300000</v>
      </c>
      <c r="D11" s="18">
        <v>1421900000</v>
      </c>
      <c r="E11" s="18">
        <v>1196500000</v>
      </c>
      <c r="F11" s="8" t="s">
        <v>95</v>
      </c>
    </row>
    <row r="12" spans="1:6" x14ac:dyDescent="0.25">
      <c r="A12" t="s">
        <v>32</v>
      </c>
      <c r="B12" s="34">
        <v>193000000</v>
      </c>
      <c r="C12" s="34">
        <v>192600000</v>
      </c>
      <c r="D12" s="34">
        <v>192300000</v>
      </c>
      <c r="E12" s="34">
        <v>191900000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2026-09-19T00:07:16Z</dcterms:modified>
</cp:coreProperties>
</file>