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<sst xmlns="http://schemas.openxmlformats.org/spreadsheetml/2006/main" count="119" uniqueCount="106">
  <si>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Fox Corporation (FOXA)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</si>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</sst>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0.03237526509400901</v>
      </c>
    </row>
    <row r="7" spans="1:2" x14ac:dyDescent="0.25">
      <c r="A7" t="s">
        <v>4</v>
      </c>
      <c r="B7" s="5">
        <v>0.19120677294594507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0.02573628795902477</v>
      </c>
    </row>
    <row r="10" spans="1:3" x14ac:dyDescent="0.25">
      <c r="A10" t="s">
        <v>7</v>
      </c>
      <c r="B10" s="5">
        <v>0.02455896557783373</v>
      </c>
      <c r="C10" s="6" t="s">
        <v>8</v>
      </c>
    </row>
    <row r="11" spans="1:2" x14ac:dyDescent="0.25">
      <c r="A11" t="s">
        <v>9</v>
      </c>
      <c r="B11" s="5">
        <v>-0.20517241379310344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7.688080237583205</v>
      </c>
    </row>
    <row r="14" spans="1:3" x14ac:dyDescent="0.25">
      <c r="A14" t="s">
        <v>12</v>
      </c>
      <c r="B14" s="5">
        <v>0.13078110708428506</v>
      </c>
      <c r="C14" s="6" t="s">
        <v>13</v>
      </c>
    </row>
    <row r="15" spans="1:3" x14ac:dyDescent="0.25">
      <c r="A15" t="s">
        <v>14</v>
      </c>
      <c r="B15" s="5">
        <v>0.022614114269117178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0.74071</v>
      </c>
      <c r="C19" s="6" t="s">
        <v>21</v>
      </c>
    </row>
    <row r="20" spans="1:2" x14ac:dyDescent="0.25">
      <c r="A20" t="s">
        <v>22</v>
      </c>
      <c r="B20" s="9">
        <f>B17+B19*B18</f>
        <v>0.08027203299999999</v>
      </c>
    </row>
    <row r="21" spans="1:3" x14ac:dyDescent="0.25">
      <c r="A21" t="s">
        <v>23</v>
      </c>
      <c r="B21" s="5">
        <v>0.05334929821060334</v>
      </c>
      <c r="C21" s="6" t="s">
        <v>24</v>
      </c>
    </row>
    <row r="22" spans="1:2" x14ac:dyDescent="0.25">
      <c r="A22" t="s">
        <v>25</v>
      </c>
      <c r="B22" s="10">
        <v>26666641408</v>
      </c>
    </row>
    <row r="23" spans="1:2" x14ac:dyDescent="0.25">
      <c r="A23" t="s">
        <v>26</v>
      </c>
      <c r="B23" s="10">
        <v>7568000000</v>
      </c>
    </row>
    <row r="24" spans="1:2" x14ac:dyDescent="0.25">
      <c r="A24" t="s">
        <v>27</v>
      </c>
      <c r="B24" s="9">
        <f>B22/(B22+B23)</f>
        <v>0.7789373661080178</v>
      </c>
    </row>
    <row r="25" spans="1:2" x14ac:dyDescent="0.25">
      <c r="A25" t="s">
        <v>28</v>
      </c>
      <c r="B25" s="9">
        <f>1-B24</f>
        <v>0.22106263389198222</v>
      </c>
    </row>
    <row r="26" spans="1:2" x14ac:dyDescent="0.25">
      <c r="A26" t="s">
        <v>29</v>
      </c>
      <c r="B26" s="11">
        <f>B24*B20+B25*B21*(1-B8)</f>
        <v>0.07184377969634846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17126000000</v>
      </c>
      <c r="C29" s="6" t="s">
        <v>32</v>
      </c>
    </row>
    <row r="30" spans="1:2" x14ac:dyDescent="0.25">
      <c r="A30" t="s">
        <v>33</v>
      </c>
      <c r="B30" s="10">
        <v>3363000000</v>
      </c>
    </row>
    <row r="31" spans="1:2" x14ac:dyDescent="0.25">
      <c r="A31" t="s">
        <v>34</v>
      </c>
      <c r="B31" s="12">
        <v>439000000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0.03237526509400901</v>
      </c>
      <c r="C5" s="5">
        <v>-0.005574534075764248</v>
      </c>
      <c r="D5" s="5">
        <v>-0.001752717316293717</v>
      </c>
      <c r="E5" s="5">
        <v>0.0020690994431768143</v>
      </c>
      <c r="F5" s="5">
        <v>0.005890916202647346</v>
      </c>
      <c r="G5" s="5">
        <v>0.009712732962117877</v>
      </c>
      <c r="H5" s="5">
        <v>0.013534549721588407</v>
      </c>
      <c r="I5" s="5">
        <v>0.01735636648105894</v>
      </c>
      <c r="J5" s="5">
        <v>0.02117818324052947</v>
      </c>
      <c r="K5" s="5">
        <v>0.025</v>
      </c>
    </row>
    <row r="6" spans="1:11" x14ac:dyDescent="0.25">
      <c r="A6" t="s">
        <v>50</v>
      </c>
      <c r="B6" s="18">
        <f>Assumptions!B29*(1+B5)</f>
        <v>17680458790</v>
      </c>
      <c r="C6" s="18">
        <f>B6*(1+C5)</f>
        <v>17581898470</v>
      </c>
      <c r="D6" s="18">
        <f>C6*(1+D5)</f>
        <v>17551082372.098312</v>
      </c>
      <c r="E6" s="18">
        <f>D6*(1+E5)</f>
        <v>17587397306.861572</v>
      </c>
      <c r="F6" s="18">
        <f>E6*(1+F5)</f>
        <v>17691003190.618958</v>
      </c>
      <c r="G6" s="18">
        <f>F6*(1+G5)</f>
        <v>17862831180.441414</v>
      </c>
      <c r="H6" s="18">
        <f>G6*(1+H5)</f>
        <v>18104596557.22144</v>
      </c>
      <c r="I6" s="18">
        <f>H6*(1+I5)</f>
        <v>18418826570.060295</v>
      </c>
      <c r="J6" s="18">
        <f>I6*(1+J5)</f>
        <v>18808903854.23657</v>
      </c>
      <c r="K6" s="18">
        <f>J6*(1+K5)</f>
        <v>19279126450.59248</v>
      </c>
    </row>
    <row r="7" spans="1:11" x14ac:dyDescent="0.25">
      <c r="A7" t="s">
        <v>4</v>
      </c>
      <c r="B7" s="9">
        <f>Assumptions!B7</f>
        <v>0.19120677294594507</v>
      </c>
      <c r="C7" s="9">
        <f>Assumptions!B7</f>
        <v>0.19120677294594507</v>
      </c>
      <c r="D7" s="9">
        <f>Assumptions!B7</f>
        <v>0.19120677294594507</v>
      </c>
      <c r="E7" s="9">
        <f>Assumptions!B7</f>
        <v>0.19120677294594507</v>
      </c>
      <c r="F7" s="9">
        <f>Assumptions!B7</f>
        <v>0.19120677294594507</v>
      </c>
      <c r="G7" s="9">
        <f>Assumptions!B7</f>
        <v>0.19120677294594507</v>
      </c>
      <c r="H7" s="9">
        <f>Assumptions!B7</f>
        <v>0.19120677294594507</v>
      </c>
      <c r="I7" s="9">
        <f>Assumptions!B7</f>
        <v>0.19120677294594507</v>
      </c>
      <c r="J7" s="9">
        <f>Assumptions!B7</f>
        <v>0.19120677294594507</v>
      </c>
      <c r="K7" s="9">
        <f>Assumptions!B7</f>
        <v>0.19120677294594507</v>
      </c>
    </row>
    <row r="8" spans="1:11" x14ac:dyDescent="0.25">
      <c r="A8" t="s">
        <v>51</v>
      </c>
      <c r="B8" s="18">
        <f>B6*B7</f>
        <v>3380623469.4396687</v>
      </c>
      <c r="C8" s="18">
        <f>C6*C7</f>
        <v>3361778068.711949</v>
      </c>
      <c r="D8" s="18">
        <f>D6*D7</f>
        <v>3355885822.077381</v>
      </c>
      <c r="E8" s="18">
        <f>E6*E7</f>
        <v>3362829483.5632067</v>
      </c>
      <c r="F8" s="18">
        <f>F6*F7</f>
        <v>3382639630.2546687</v>
      </c>
      <c r="G8" s="18">
        <f>G6*G7</f>
        <v>3415494305.690409</v>
      </c>
      <c r="H8" s="18">
        <f>H6*H7</f>
        <v>3461721483.1945786</v>
      </c>
      <c r="I8" s="18">
        <f>I6*I7</f>
        <v>3521804389.912259</v>
      </c>
      <c r="J8" s="18">
        <f>J6*J7</f>
        <v>3596389808.6191225</v>
      </c>
      <c r="K8" s="18">
        <f>K6*K7</f>
        <v>3686299553.8346</v>
      </c>
    </row>
    <row r="9" spans="1:11" x14ac:dyDescent="0.25">
      <c r="A9" t="s">
        <v>52</v>
      </c>
      <c r="B9" s="18">
        <f>B8*(1-Assumptions!B8)</f>
        <v>2670692540.8573384</v>
      </c>
      <c r="C9" s="18">
        <f>C8*(1-Assumptions!B8)</f>
        <v>2655804674.2824397</v>
      </c>
      <c r="D9" s="18">
        <f>D8*(1-Assumptions!B8)</f>
        <v>2651149799.441131</v>
      </c>
      <c r="E9" s="18">
        <f>E8*(1-Assumptions!B8)</f>
        <v>2656635292.0149336</v>
      </c>
      <c r="F9" s="18">
        <f>F8*(1-Assumptions!B8)</f>
        <v>2672285307.9011884</v>
      </c>
      <c r="G9" s="18">
        <f>G8*(1-Assumptions!B8)</f>
        <v>2698240501.4954233</v>
      </c>
      <c r="H9" s="18">
        <f>H8*(1-Assumptions!B8)</f>
        <v>2734759971.723717</v>
      </c>
      <c r="I9" s="18">
        <f>I8*(1-Assumptions!B8)</f>
        <v>2782225468.030685</v>
      </c>
      <c r="J9" s="18">
        <f>J8*(1-Assumptions!B8)</f>
        <v>2841147948.809107</v>
      </c>
      <c r="K9" s="18">
        <f>K8*(1-Assumptions!B8)</f>
        <v>2912176647.529334</v>
      </c>
    </row>
    <row r="10" spans="1:11" x14ac:dyDescent="0.25">
      <c r="A10" t="s">
        <v>53</v>
      </c>
      <c r="B10" s="18">
        <f>B6*Assumptions!B9</f>
        <v>455029378.6671106</v>
      </c>
      <c r="C10" s="18">
        <f>C6*Assumptions!B9</f>
        <v>452492801.890257</v>
      </c>
      <c r="D10" s="18">
        <f>D6*Assumptions!B9</f>
        <v>451699709.9208857</v>
      </c>
      <c r="E10" s="18">
        <f>E6*Assumptions!B9</f>
        <v>452634321.53916615</v>
      </c>
      <c r="F10" s="18">
        <f>F6*Assumptions!B9</f>
        <v>455300752.39779544</v>
      </c>
      <c r="G10" s="18">
        <f>G6*Assumptions!B9</f>
        <v>459722967.0232866</v>
      </c>
      <c r="H10" s="18">
        <f>H6*Assumptions!B9</f>
        <v>465945110.37861943</v>
      </c>
      <c r="I10" s="18">
        <f>I6*Assumptions!B9</f>
        <v>474032224.47440827</v>
      </c>
      <c r="J10" s="18">
        <f>J6*Assumptions!B9</f>
        <v>484071365.7862432</v>
      </c>
      <c r="K10" s="18">
        <f>K6*Assumptions!B9</f>
        <v>496173149.9308992</v>
      </c>
    </row>
    <row r="11" spans="1:11" x14ac:dyDescent="0.25">
      <c r="A11" t="s">
        <v>54</v>
      </c>
      <c r="B11" s="18">
        <f>-B6*B19</f>
        <v>-434213778.8239178</v>
      </c>
      <c r="C11" s="18">
        <f>-C6*C19</f>
        <v>-485324005.4757952</v>
      </c>
      <c r="D11" s="18">
        <f>-D6*D19</f>
        <v>-537910311.5446827</v>
      </c>
      <c r="E11" s="18">
        <f>-E6*E19</f>
        <v>-592570809.6747187</v>
      </c>
      <c r="F11" s="18">
        <f>-F6*F19</f>
        <v>-649924546.7462772</v>
      </c>
      <c r="G11" s="18">
        <f>-G6*G19</f>
        <v>-710623198.8721577</v>
      </c>
      <c r="H11" s="18">
        <f>-H6*H19</f>
        <v>-775363363.938855</v>
      </c>
      <c r="I11" s="18">
        <f>-I6*I19</f>
        <v>-844899775.792892</v>
      </c>
      <c r="J11" s="18">
        <f>-J6*J19</f>
        <v>-920059788.8861643</v>
      </c>
      <c r="K11" s="18">
        <f>-K6*K19</f>
        <v>-1001759518.7005075</v>
      </c>
    </row>
    <row r="12" spans="1:11" x14ac:dyDescent="0.25">
      <c r="A12" t="s">
        <v>55</v>
      </c>
      <c r="B12" s="18">
        <f>-(B6-Assumptions!B29)*Assumptions!B11</f>
        <v>113759648.29310344</v>
      </c>
      <c r="C12" s="18">
        <f>-(C6-B6)*Assumptions!B11</f>
        <v>-20221858.75862069</v>
      </c>
      <c r="D12" s="18">
        <f>-(D6-C6)*Assumptions!B11</f>
        <v>-6322613.190173839</v>
      </c>
      <c r="E12" s="18">
        <f>-(E6-D6)*Assumptions!B11</f>
        <v>7450822.822117114</v>
      </c>
      <c r="F12" s="18">
        <f>-(F6-E6)*Assumptions!B11</f>
        <v>21257069.25367042</v>
      </c>
      <c r="G12" s="18">
        <f>-(G6-F6)*Assumptions!B11</f>
        <v>35254363.42909018</v>
      </c>
      <c r="H12" s="18">
        <f>-(H6-G6)*Assumptions!B11</f>
        <v>49603585.92555695</v>
      </c>
      <c r="I12" s="18">
        <f>-(I6-H6)*Assumptions!B11</f>
        <v>64471330.22038592</v>
      </c>
      <c r="J12" s="18">
        <f>-(J6-I6)*Assumptions!B11</f>
        <v>80033097.96030435</v>
      </c>
      <c r="K12" s="18">
        <f>-(K6-J6)*Assumptions!B11</f>
        <v>96476705.11440247</v>
      </c>
    </row>
    <row r="13" spans="1:11" x14ac:dyDescent="0.25">
      <c r="A13" s="19" t="s">
        <v>56</v>
      </c>
      <c r="B13" s="20">
        <f>B9+B10+B11+B12</f>
        <v>2805267788.993634</v>
      </c>
      <c r="C13" s="20">
        <f>C9+C10+C11+C12</f>
        <v>2602751611.9382806</v>
      </c>
      <c r="D13" s="20">
        <f>D9+D10+D11+D12</f>
        <v>2558616584.6271605</v>
      </c>
      <c r="E13" s="20">
        <f>E9+E10+E11+E12</f>
        <v>2524149626.701498</v>
      </c>
      <c r="F13" s="20">
        <f>F9+F10+F11+F12</f>
        <v>2498918582.8063765</v>
      </c>
      <c r="G13" s="20">
        <f>G9+G10+G11+G12</f>
        <v>2482594633.0756426</v>
      </c>
      <c r="H13" s="20">
        <f>H9+H10+H11+H12</f>
        <v>2474945304.089039</v>
      </c>
      <c r="I13" s="20">
        <f>I9+I10+I11+I12</f>
        <v>2475829246.932587</v>
      </c>
      <c r="J13" s="20">
        <f>J9+J10+J11+J12</f>
        <v>2485192623.6694903</v>
      </c>
      <c r="K13" s="20">
        <f>K9+K10+K11+K12</f>
        <v>2503066983.874128</v>
      </c>
    </row>
    <row r="14" spans="1:11" x14ac:dyDescent="0.25">
      <c r="A14" t="s">
        <v>57</v>
      </c>
      <c r="B14" s="21">
        <f>1/(1+Assumptions!$B$26)^(1-0.5*Assumptions!$B$32)</f>
        <v>0.9659046437974262</v>
      </c>
      <c r="C14" s="21">
        <f>1/(1+Assumptions!$B$26)^(2-0.5*Assumptions!$B$32)</f>
        <v>0.901161775712376</v>
      </c>
      <c r="D14" s="21">
        <f>1/(1+Assumptions!$B$26)^(3-0.5*Assumptions!$B$32)</f>
        <v>0.8407585067738823</v>
      </c>
      <c r="E14" s="21">
        <f>1/(1+Assumptions!$B$26)^(4-0.5*Assumptions!$B$32)</f>
        <v>0.7844039613795845</v>
      </c>
      <c r="F14" s="21">
        <f>1/(1+Assumptions!$B$26)^(5-0.5*Assumptions!$B$32)</f>
        <v>0.7318267608007248</v>
      </c>
      <c r="G14" s="21">
        <f>1/(1+Assumptions!$B$26)^(6-0.5*Assumptions!$B$32)</f>
        <v>0.6827737163414337</v>
      </c>
      <c r="H14" s="21">
        <f>1/(1+Assumptions!$B$26)^(7-0.5*Assumptions!$B$32)</f>
        <v>0.6370086100932193</v>
      </c>
      <c r="I14" s="21">
        <f>1/(1+Assumptions!$B$26)^(8-0.5*Assumptions!$B$32)</f>
        <v>0.5943110574133134</v>
      </c>
      <c r="J14" s="21">
        <f>1/(1+Assumptions!$B$26)^(9-0.5*Assumptions!$B$32)</f>
        <v>0.5544754456490671</v>
      </c>
      <c r="K14" s="21">
        <f>1/(1+Assumptions!$B$26)^(10-0.5*Assumptions!$B$32)</f>
        <v>0.5173099439977616</v>
      </c>
    </row>
    <row r="15" spans="1:11" x14ac:dyDescent="0.25">
      <c r="A15" s="19" t="s">
        <v>58</v>
      </c>
      <c r="B15" s="20">
        <f>B13*B14</f>
        <v>2709621184.4842896</v>
      </c>
      <c r="C15" s="20">
        <f>C13*C14</f>
        <v>2345500264.35255</v>
      </c>
      <c r="D15" s="20">
        <f>D13*D14</f>
        <v>2151178659.098022</v>
      </c>
      <c r="E15" s="20">
        <f>E13*E14</f>
        <v>1979952966.2994545</v>
      </c>
      <c r="F15" s="20">
        <f>F13*F14</f>
        <v>1828775491.9599283</v>
      </c>
      <c r="G15" s="20">
        <f>G13*G14</f>
        <v>1695050363.7943544</v>
      </c>
      <c r="H15" s="20">
        <f>H13*H14</f>
        <v>1576561468.2144985</v>
      </c>
      <c r="I15" s="20">
        <f>I13*I14</f>
        <v>1471412697.7193131</v>
      </c>
      <c r="J15" s="20">
        <f>J13*J14</f>
        <v>1377978287.532915</v>
      </c>
      <c r="K15" s="20">
        <f>K13*K14</f>
        <v>1294861441.2505713</v>
      </c>
    </row>
    <row r="17" spans="1:2" x14ac:dyDescent="0.25">
      <c r="A17" s="22" t="s">
        <v>59</v>
      </c>
      <c r="B17" s="23">
        <f>SUM(B15:K15)</f>
        <v>18430892824.705894</v>
      </c>
    </row>
    <row r="19" spans="1:11" x14ac:dyDescent="0.25">
      <c r="A19" t="s">
        <v>7</v>
      </c>
      <c r="B19" s="9">
        <f>Assumptions!$B$10+($B$20-Assumptions!$B$10)*0/9</f>
        <v>0.02455896557783373</v>
      </c>
      <c r="C19" s="9">
        <f>Assumptions!$B$10+($B$20-Assumptions!$B$10)*1/9</f>
        <v>0.02760361779496701</v>
      </c>
      <c r="D19" s="9">
        <f>Assumptions!$B$10+($B$20-Assumptions!$B$10)*2/9</f>
        <v>0.030648270012100288</v>
      </c>
      <c r="E19" s="9">
        <f>Assumptions!$B$10+($B$20-Assumptions!$B$10)*3/9</f>
        <v>0.03369292222923356</v>
      </c>
      <c r="F19" s="9">
        <f>Assumptions!$B$10+($B$20-Assumptions!$B$10)*4/9</f>
        <v>0.03673757444636684</v>
      </c>
      <c r="G19" s="9">
        <f>Assumptions!$B$10+($B$20-Assumptions!$B$10)*5/9</f>
        <v>0.03978222666350012</v>
      </c>
      <c r="H19" s="9">
        <f>Assumptions!$B$10+($B$20-Assumptions!$B$10)*6/9</f>
        <v>0.0428268788806334</v>
      </c>
      <c r="I19" s="9">
        <f>Assumptions!$B$10+($B$20-Assumptions!$B$10)*7/9</f>
        <v>0.04587153109776668</v>
      </c>
      <c r="J19" s="9">
        <f>Assumptions!$B$10+($B$20-Assumptions!$B$10)*8/9</f>
        <v>0.048916183314899955</v>
      </c>
      <c r="K19" s="9">
        <f>Assumptions!$B$10+($B$20-Assumptions!$B$10)*9/9</f>
        <v>0.051960835532033234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0.051960835532033234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2503066983.874128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2959728944.810403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0.19115910973202074</v>
      </c>
    </row>
    <row r="7" spans="1:2" x14ac:dyDescent="0.25">
      <c r="A7" t="s">
        <v>66</v>
      </c>
      <c r="B7" s="18">
        <f>-MAX(B5,0)*B6</f>
        <v>-565779150.1380497</v>
      </c>
    </row>
    <row r="8" spans="1:2" x14ac:dyDescent="0.25">
      <c r="A8" t="s">
        <v>67</v>
      </c>
      <c r="B8" s="18">
        <f>IF(OR(Assumptions!$B$33=0,Assumptions!B12&lt;=0),B5,MAX(B5+B7,0))</f>
        <v>2393949794.6723533</v>
      </c>
    </row>
    <row r="9" spans="1:2" x14ac:dyDescent="0.25">
      <c r="A9" t="s">
        <v>68</v>
      </c>
      <c r="B9" s="18">
        <f>B8*(1+Assumptions!B12)/(Assumptions!B26-Assumptions!B12)</f>
        <v>52382590718.45219</v>
      </c>
    </row>
    <row r="10" spans="1:2" x14ac:dyDescent="0.25">
      <c r="A10" t="s">
        <v>69</v>
      </c>
      <c r="B10" s="18">
        <f>B9/(1+Assumptions!B26)^(10-0.5*Assumptions!B32)</f>
        <v>27098035071.02017</v>
      </c>
    </row>
    <row r="11" spans="1:2" x14ac:dyDescent="0.25">
      <c r="A11" t="s">
        <v>70</v>
      </c>
      <c r="B11" s="18">
        <f>Forecast!B17+B10</f>
        <v>45528927895.72606</v>
      </c>
    </row>
    <row r="12" spans="1:2" x14ac:dyDescent="0.25">
      <c r="A12" t="s">
        <v>71</v>
      </c>
      <c r="B12" s="18">
        <f>-Assumptions!B30</f>
        <v>-3363000000</v>
      </c>
    </row>
    <row r="13" spans="1:2" x14ac:dyDescent="0.25">
      <c r="A13" t="s">
        <v>72</v>
      </c>
      <c r="B13" s="18">
        <f>B11+B12</f>
        <v>42165927895.72606</v>
      </c>
    </row>
    <row r="14" spans="1:2" x14ac:dyDescent="0.25">
      <c r="A14" s="19" t="s">
        <v>73</v>
      </c>
      <c r="B14" s="24">
        <f>B13/Assumptions!B31</f>
        <v>96.04994964857872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4182472703.765499</v>
      </c>
    </row>
    <row r="18" spans="1:2" x14ac:dyDescent="0.25">
      <c r="A18" t="s">
        <v>68</v>
      </c>
      <c r="B18" s="18">
        <f>B17*Assumptions!B13</f>
        <v>32155185738.050728</v>
      </c>
    </row>
    <row r="19" spans="1:2" x14ac:dyDescent="0.25">
      <c r="A19" t="s">
        <v>69</v>
      </c>
      <c r="B19" s="18">
        <f>B18/(1+Assumptions!B26)^(10-0.5*Assumptions!B32)</f>
        <v>16634197333.388645</v>
      </c>
    </row>
    <row r="20" spans="1:2" x14ac:dyDescent="0.25">
      <c r="A20" t="s">
        <v>70</v>
      </c>
      <c r="B20" s="18">
        <f>Forecast!B17+B19</f>
        <v>35065090158.09454</v>
      </c>
    </row>
    <row r="21" spans="1:2" x14ac:dyDescent="0.25">
      <c r="A21" t="s">
        <v>71</v>
      </c>
      <c r="B21" s="18">
        <f>-Assumptions!B30</f>
        <v>-3363000000</v>
      </c>
    </row>
    <row r="22" spans="1:2" x14ac:dyDescent="0.25">
      <c r="A22" t="s">
        <v>72</v>
      </c>
      <c r="B22" s="18">
        <f>B20+B21</f>
        <v>31702090158.094543</v>
      </c>
    </row>
    <row r="23" spans="1:2" x14ac:dyDescent="0.25">
      <c r="A23" s="19" t="s">
        <v>73</v>
      </c>
      <c r="B23" s="25">
        <f>B22/Assumptions!B31</f>
        <v>72.21432837834747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63.24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96.04994964857872</v>
      </c>
    </row>
    <row r="29" spans="1:2" x14ac:dyDescent="0.25">
      <c r="A29" s="19" t="s">
        <v>81</v>
      </c>
      <c r="B29" s="11">
        <f>B28/B26-1</f>
        <v>0.5188164081052928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0.051844</v>
      </c>
      <c r="B5" s="31">
        <v>141.44034497931983</v>
      </c>
      <c r="C5" s="31">
        <v>152.01284123557676</v>
      </c>
      <c r="D5" s="31">
        <v>166.78936610166392</v>
      </c>
      <c r="E5" s="31">
        <v>188.65677313679473</v>
      </c>
      <c r="F5" s="31">
        <v>223.92966887953787</v>
      </c>
    </row>
    <row r="6" spans="1:6" x14ac:dyDescent="0.25">
      <c r="A6" s="30">
        <v>0.061844</v>
      </c>
      <c r="B6" s="31">
        <v>110.85479598088247</v>
      </c>
      <c r="C6" s="31">
        <v>115.62459079626778</v>
      </c>
      <c r="D6" s="31">
        <v>121.8717765526221</v>
      </c>
      <c r="E6" s="31">
        <v>130.29227286163166</v>
      </c>
      <c r="F6" s="31">
        <v>142.10049107368496</v>
      </c>
    </row>
    <row r="7" spans="1:6" x14ac:dyDescent="0.25">
      <c r="A7" s="30">
        <v>0.071844</v>
      </c>
      <c r="B7" s="31">
        <v>90.99673927112156</v>
      </c>
      <c r="C7" s="31">
        <v>93.21803894319069</v>
      </c>
      <c r="D7" s="32">
        <v>96.04950135585689</v>
      </c>
      <c r="E7" s="31">
        <v>99.70985419072228</v>
      </c>
      <c r="F7" s="31">
        <v>104.53655690748145</v>
      </c>
    </row>
    <row r="8" spans="1:6" x14ac:dyDescent="0.25">
      <c r="A8" s="30">
        <v>0.081844</v>
      </c>
      <c r="B8" s="31">
        <v>77.05395616961754</v>
      </c>
      <c r="C8" s="31">
        <v>78.01452965373093</v>
      </c>
      <c r="D8" s="31">
        <v>79.25014995735688</v>
      </c>
      <c r="E8" s="31">
        <v>80.8403962466996</v>
      </c>
      <c r="F8" s="31">
        <v>82.8988239351685</v>
      </c>
    </row>
    <row r="9" spans="1:6" x14ac:dyDescent="0.25">
      <c r="A9" s="30">
        <v>0.091844</v>
      </c>
      <c r="B9" s="31">
        <v>66.71895112346792</v>
      </c>
      <c r="C9" s="31">
        <v>67.009192194316</v>
      </c>
      <c r="D9" s="31">
        <v>67.42830217867126</v>
      </c>
      <c r="E9" s="31">
        <v>68.0075376851393</v>
      </c>
      <c r="F9" s="31">
        <v>68.78915265136867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17126000000</v>
      </c>
      <c r="C5" s="18">
        <v>16300000000</v>
      </c>
      <c r="D5" s="18">
        <v>13980000000</v>
      </c>
      <c r="E5" s="18">
        <v>14913000000</v>
      </c>
      <c r="F5" s="6" t="s">
        <v>91</v>
      </c>
    </row>
    <row r="6" spans="1:6" x14ac:dyDescent="0.25">
      <c r="A6" t="s">
        <v>51</v>
      </c>
      <c r="B6" s="18">
        <v>3496000000</v>
      </c>
      <c r="C6" s="18">
        <v>3229000000</v>
      </c>
      <c r="D6" s="18">
        <v>2478000000</v>
      </c>
      <c r="E6" s="18">
        <v>2764000000</v>
      </c>
      <c r="F6" s="6" t="s">
        <v>92</v>
      </c>
    </row>
    <row r="7" spans="1:6" x14ac:dyDescent="0.25">
      <c r="A7" t="s">
        <v>93</v>
      </c>
      <c r="B7" s="18">
        <v>410000000</v>
      </c>
      <c r="C7" s="18">
        <v>385000000</v>
      </c>
      <c r="D7" s="18">
        <v>389000000</v>
      </c>
      <c r="E7" s="18">
        <v>411000000</v>
      </c>
      <c r="F7" s="6" t="s">
        <v>94</v>
      </c>
    </row>
    <row r="8" spans="1:6" x14ac:dyDescent="0.25">
      <c r="A8" t="s">
        <v>95</v>
      </c>
      <c r="B8" s="18">
        <v>502000000</v>
      </c>
      <c r="C8" s="18">
        <v>331000000</v>
      </c>
      <c r="D8" s="18">
        <v>345000000</v>
      </c>
      <c r="E8" s="18">
        <v>357000000</v>
      </c>
      <c r="F8" s="6" t="s">
        <v>96</v>
      </c>
    </row>
    <row r="9" spans="1:6" x14ac:dyDescent="0.25">
      <c r="A9" t="s">
        <v>97</v>
      </c>
      <c r="B9" s="18">
        <v>1546000000</v>
      </c>
      <c r="C9" s="18">
        <v>-476000000</v>
      </c>
      <c r="D9" s="18">
        <v>554000000</v>
      </c>
      <c r="E9" s="18">
        <v>270000000</v>
      </c>
      <c r="F9" s="6" t="s">
        <v>98</v>
      </c>
    </row>
    <row r="10" spans="1:6" x14ac:dyDescent="0.25">
      <c r="A10" t="s">
        <v>99</v>
      </c>
      <c r="B10" s="18">
        <v>7568000000</v>
      </c>
      <c r="C10" s="18">
        <v>7465000000</v>
      </c>
      <c r="D10" s="18">
        <v>8152000000</v>
      </c>
      <c r="E10" s="18">
        <v>8207000000</v>
      </c>
      <c r="F10" s="6" t="s">
        <v>100</v>
      </c>
    </row>
    <row r="11" spans="1:6" x14ac:dyDescent="0.25">
      <c r="A11" t="s">
        <v>101</v>
      </c>
      <c r="B11" s="18">
        <v>4205000000</v>
      </c>
      <c r="C11" s="18">
        <v>5351000000</v>
      </c>
      <c r="D11" s="18">
        <v>4319000000</v>
      </c>
      <c r="E11" s="18">
        <v>4272000000</v>
      </c>
      <c r="F11" s="6" t="s">
        <v>102</v>
      </c>
    </row>
    <row r="12" spans="1:6" x14ac:dyDescent="0.25">
      <c r="A12" t="s">
        <v>34</v>
      </c>
      <c r="B12" s="34">
        <v>439000000</v>
      </c>
      <c r="C12" s="34">
        <v>461000000</v>
      </c>
      <c r="D12" s="34">
        <v>480000000</v>
      </c>
      <c r="E12" s="34">
        <v>531000000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