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<sst xmlns="http://schemas.openxmlformats.org/spreadsheetml/2006/main" count="111" uniqueCount="99">
  <si>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Fox Corporation (FOXA)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</si>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</sst>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0.047201624551486354</v>
      </c>
    </row>
    <row r="7" spans="1:2" x14ac:dyDescent="0.25">
      <c r="A7" t="s">
        <v>5</v>
      </c>
      <c r="B7" s="6">
        <v>0.19120677294594507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0.02573628795902477</v>
      </c>
    </row>
    <row r="10" spans="1:2" x14ac:dyDescent="0.25">
      <c r="A10" t="s">
        <v>8</v>
      </c>
      <c r="B10" s="6">
        <v>0.02455896557783373</v>
      </c>
    </row>
    <row r="11" spans="1:2" x14ac:dyDescent="0.25">
      <c r="A11" t="s">
        <v>9</v>
      </c>
      <c r="B11" s="6">
        <v>-0.20517241379310344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7.798308882744496</v>
      </c>
    </row>
    <row r="14" spans="1:3" x14ac:dyDescent="0.25">
      <c r="A14" t="s">
        <v>12</v>
      </c>
      <c r="B14" s="6">
        <v>0.13078110708428506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0.7045300000000001</v>
      </c>
      <c r="C19" s="8" t="s">
        <v>19</v>
      </c>
    </row>
    <row r="20" spans="1:2" x14ac:dyDescent="0.25">
      <c r="A20" t="s">
        <v>20</v>
      </c>
      <c r="B20" s="10">
        <f>B17+B19*B18</f>
        <v>0.08872915</v>
      </c>
    </row>
    <row r="21" spans="1:3" x14ac:dyDescent="0.25">
      <c r="A21" t="s">
        <v>21</v>
      </c>
      <c r="B21" s="6">
        <v>0.05334929821060334</v>
      </c>
      <c r="C21" s="8" t="s">
        <v>22</v>
      </c>
    </row>
    <row r="22" spans="1:2" x14ac:dyDescent="0.25">
      <c r="A22" t="s">
        <v>23</v>
      </c>
      <c r="B22" s="11">
        <v>27097194496</v>
      </c>
    </row>
    <row r="23" spans="1:2" x14ac:dyDescent="0.25">
      <c r="A23" t="s">
        <v>24</v>
      </c>
      <c r="B23" s="11">
        <v>7568000000</v>
      </c>
    </row>
    <row r="24" spans="1:2" x14ac:dyDescent="0.25">
      <c r="A24" t="s">
        <v>25</v>
      </c>
      <c r="B24" s="10">
        <f>B22/(B22+B23)</f>
        <v>0.7816830365433759</v>
      </c>
    </row>
    <row r="25" spans="1:2" x14ac:dyDescent="0.25">
      <c r="A25" t="s">
        <v>26</v>
      </c>
      <c r="B25" s="10">
        <f>1-B24</f>
        <v>0.2183169634566241</v>
      </c>
    </row>
    <row r="26" spans="1:2" x14ac:dyDescent="0.25">
      <c r="A26" t="s">
        <v>27</v>
      </c>
      <c r="B26" s="12">
        <f>B24*B20+B25*B21*(1-B8)</f>
        <v>0.07855924626433855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17126000000</v>
      </c>
      <c r="C29" s="8" t="s">
        <v>30</v>
      </c>
    </row>
    <row r="30" spans="1:2" x14ac:dyDescent="0.25">
      <c r="A30" t="s">
        <v>31</v>
      </c>
      <c r="B30" s="11">
        <v>3363000000</v>
      </c>
    </row>
    <row r="31" spans="1:2" x14ac:dyDescent="0.25">
      <c r="A31" t="s">
        <v>32</v>
      </c>
      <c r="B31" s="13">
        <v>439000000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0.047201624551486354</v>
      </c>
      <c r="C5" s="10">
        <f>Assumptions!B6</f>
        <v>0.047201624551486354</v>
      </c>
      <c r="D5" s="10">
        <f>Assumptions!B6</f>
        <v>0.047201624551486354</v>
      </c>
      <c r="E5" s="10">
        <f>Assumptions!B6</f>
        <v>0.047201624551486354</v>
      </c>
      <c r="F5" s="10">
        <f>Assumptions!B6</f>
        <v>0.047201624551486354</v>
      </c>
    </row>
    <row r="6" spans="1:6" x14ac:dyDescent="0.25">
      <c r="A6" t="s">
        <v>43</v>
      </c>
      <c r="B6" s="18">
        <f>Assumptions!B29*(1+B5)</f>
        <v>17934375022.068756</v>
      </c>
      <c r="C6" s="18">
        <f>B6*(1+C5)</f>
        <v>18780906658.426</v>
      </c>
      <c r="D6" s="18">
        <f>C6*(1+D5)</f>
        <v>19667395963.253532</v>
      </c>
      <c r="E6" s="18">
        <f>D6*(1+E5)</f>
        <v>20595729003.416443</v>
      </c>
      <c r="F6" s="18">
        <f>E6*(1+F5)</f>
        <v>21567880871.199863</v>
      </c>
    </row>
    <row r="7" spans="1:6" x14ac:dyDescent="0.25">
      <c r="A7" t="s">
        <v>5</v>
      </c>
      <c r="B7" s="10">
        <f>Assumptions!B7</f>
        <v>0.19120677294594507</v>
      </c>
      <c r="C7" s="10">
        <f>Assumptions!B7</f>
        <v>0.19120677294594507</v>
      </c>
      <c r="D7" s="10">
        <f>Assumptions!B7</f>
        <v>0.19120677294594507</v>
      </c>
      <c r="E7" s="10">
        <f>Assumptions!B7</f>
        <v>0.19120677294594507</v>
      </c>
      <c r="F7" s="10">
        <f>Assumptions!B7</f>
        <v>0.19120677294594507</v>
      </c>
    </row>
    <row r="8" spans="1:6" x14ac:dyDescent="0.25">
      <c r="A8" t="s">
        <v>44</v>
      </c>
      <c r="B8" s="18">
        <f>B6*B7</f>
        <v>3429173972.772129</v>
      </c>
      <c r="C8" s="18">
        <f>C6*C7</f>
        <v>3591036555.1566477</v>
      </c>
      <c r="D8" s="18">
        <f>D6*D7</f>
        <v>3760539314.383815</v>
      </c>
      <c r="E8" s="18">
        <f>E6*E7</f>
        <v>3938042879.2124634</v>
      </c>
      <c r="F8" s="18">
        <f>F6*F7</f>
        <v>4123924900.6647043</v>
      </c>
    </row>
    <row r="9" spans="1:6" x14ac:dyDescent="0.25">
      <c r="A9" t="s">
        <v>45</v>
      </c>
      <c r="B9" s="18">
        <f>B8*(1-Assumptions!B8)</f>
        <v>2709047438.489982</v>
      </c>
      <c r="C9" s="18">
        <f>C8*(1-Assumptions!B8)</f>
        <v>2836918878.573752</v>
      </c>
      <c r="D9" s="18">
        <f>D8*(1-Assumptions!B8)</f>
        <v>2970826058.363214</v>
      </c>
      <c r="E9" s="18">
        <f>E8*(1-Assumptions!B8)</f>
        <v>3111053874.577846</v>
      </c>
      <c r="F9" s="18">
        <f>F8*(1-Assumptions!B8)</f>
        <v>3257900671.5251164</v>
      </c>
    </row>
    <row r="10" spans="1:6" x14ac:dyDescent="0.25">
      <c r="A10" t="s">
        <v>46</v>
      </c>
      <c r="B10" s="18">
        <f>B6*Assumptions!B9</f>
        <v>461564239.9331027</v>
      </c>
      <c r="C10" s="18">
        <f>C6*Assumptions!B9</f>
        <v>483350821.89281714</v>
      </c>
      <c r="D10" s="18">
        <f>D6*Assumptions!B9</f>
        <v>506165765.9144542</v>
      </c>
      <c r="E10" s="18">
        <f>E6*Assumptions!B9</f>
        <v>530057612.3579638</v>
      </c>
      <c r="F10" s="18">
        <f>F6*Assumptions!B9</f>
        <v>555077192.7671417</v>
      </c>
    </row>
    <row r="11" spans="1:6" x14ac:dyDescent="0.25">
      <c r="A11" t="s">
        <v>47</v>
      </c>
      <c r="B11" s="18">
        <f>-B6*Assumptions!B10</f>
        <v>-440449698.8269476</v>
      </c>
      <c r="C11" s="18">
        <f>-C6*Assumptions!B10</f>
        <v>-461239640.14479244</v>
      </c>
      <c r="D11" s="18">
        <f>-D6*Assumptions!B10</f>
        <v>-483010900.4671696</v>
      </c>
      <c r="E11" s="18">
        <f>-E6*Assumptions!B10</f>
        <v>-505809799.6452962</v>
      </c>
      <c r="F11" s="18">
        <f>-F6*Assumptions!B10</f>
        <v>-529684843.902616</v>
      </c>
    </row>
    <row r="12" spans="1:6" x14ac:dyDescent="0.25">
      <c r="A12" t="s">
        <v>48</v>
      </c>
      <c r="B12" s="18">
        <f>-(B6-Assumptions!B29)*Assumptions!B11</f>
        <v>165856254.52789995</v>
      </c>
      <c r="C12" s="18">
        <f>-(C6-B6)*Assumptions!B11</f>
        <v>173684939.18364114</v>
      </c>
      <c r="D12" s="18">
        <f>-(D6-C6)*Assumptions!B11</f>
        <v>181883150.47323537</v>
      </c>
      <c r="E12" s="18">
        <f>-(E6-D6)*Assumptions!B11</f>
        <v>190468330.6541144</v>
      </c>
      <c r="F12" s="18">
        <f>-(F6-E6)*Assumptions!B11</f>
        <v>199458745.28659835</v>
      </c>
    </row>
    <row r="13" spans="1:6" x14ac:dyDescent="0.25">
      <c r="A13" s="19" t="s">
        <v>49</v>
      </c>
      <c r="B13" s="20">
        <f>B9+B10+B11+B12</f>
        <v>2896018234.124037</v>
      </c>
      <c r="C13" s="20">
        <f>C9+C10+C11+C12</f>
        <v>3032714999.5054173</v>
      </c>
      <c r="D13" s="20">
        <f>D9+D10+D11+D12</f>
        <v>3175864074.2837334</v>
      </c>
      <c r="E13" s="20">
        <f>E9+E10+E11+E12</f>
        <v>3325770017.9446282</v>
      </c>
      <c r="F13" s="20">
        <f>F9+F10+F11+F12</f>
        <v>3482751765.6762404</v>
      </c>
    </row>
    <row r="14" spans="1:6" x14ac:dyDescent="0.25">
      <c r="A14" t="s">
        <v>50</v>
      </c>
      <c r="B14" s="21">
        <f>1/(1+Assumptions!$B$26)^(1-0.5*Assumptions!$B$32)</f>
        <v>0.962892927614166</v>
      </c>
      <c r="C14" s="21">
        <f>1/(1+Assumptions!$B$26)^(2-0.5*Assumptions!$B$32)</f>
        <v>0.8927584932855656</v>
      </c>
      <c r="D14" s="21">
        <f>1/(1+Assumptions!$B$26)^(3-0.5*Assumptions!$B$32)</f>
        <v>0.8277324554749251</v>
      </c>
      <c r="E14" s="21">
        <f>1/(1+Assumptions!$B$26)^(4-0.5*Assumptions!$B$32)</f>
        <v>0.7674427328325556</v>
      </c>
      <c r="F14" s="21">
        <f>1/(1+Assumptions!$B$26)^(5-0.5*Assumptions!$B$32)</f>
        <v>0.7115443453761527</v>
      </c>
    </row>
    <row r="15" spans="1:6" x14ac:dyDescent="0.25">
      <c r="A15" s="19" t="s">
        <v>51</v>
      </c>
      <c r="B15" s="20">
        <f>B13*B14</f>
        <v>2788555475.879701</v>
      </c>
      <c r="C15" s="20">
        <f>C13*C14</f>
        <v>2707482073.522991</v>
      </c>
      <c r="D15" s="20">
        <f>D13*D14</f>
        <v>2628765768.4614744</v>
      </c>
      <c r="E15" s="20">
        <f>E13*E14</f>
        <v>2552338031.3440027</v>
      </c>
      <c r="F15" s="20">
        <f>F13*F14</f>
        <v>2478132325.2157407</v>
      </c>
    </row>
    <row r="17" spans="1:2" x14ac:dyDescent="0.25">
      <c r="A17" s="22" t="s">
        <v>52</v>
      </c>
      <c r="B17" s="23">
        <f>SUM(B15:F15)</f>
        <v>13155273674.42391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3482751765.6762404</v>
      </c>
    </row>
    <row r="5" spans="1:2" x14ac:dyDescent="0.25">
      <c r="A5" t="s">
        <v>56</v>
      </c>
      <c r="B5" s="18">
        <f>IF(Assumptions!$B$33=0,B4,B4-Forecast!F11-Forecast!F10-Forecast!F12)</f>
        <v>3311098220.9855824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0.19115910973202074</v>
      </c>
    </row>
    <row r="7" spans="1:2" x14ac:dyDescent="0.25">
      <c r="A7" t="s">
        <v>58</v>
      </c>
      <c r="B7" s="18">
        <f>-MAX(Forecast!F9,0)*B6</f>
        <v>-632946588.1588817</v>
      </c>
    </row>
    <row r="8" spans="1:2" x14ac:dyDescent="0.25">
      <c r="A8" t="s">
        <v>59</v>
      </c>
      <c r="B8" s="18">
        <f>IF(OR(Assumptions!$B$33=0,Assumptions!B12&lt;=0),B5,MAX(B5+B7,0))</f>
        <v>2678151632.8267007</v>
      </c>
    </row>
    <row r="9" spans="1:2" x14ac:dyDescent="0.25">
      <c r="A9" t="s">
        <v>60</v>
      </c>
      <c r="B9" s="18">
        <f>B8*(1+Assumptions!B12)/(Assumptions!B26-Assumptions!B12)</f>
        <v>51253623139.113266</v>
      </c>
    </row>
    <row r="10" spans="1:2" x14ac:dyDescent="0.25">
      <c r="A10" t="s">
        <v>61</v>
      </c>
      <c r="B10" s="18">
        <f>B9/(1+Assumptions!B26)^(5-0.5*Assumptions!B32)</f>
        <v>36469225724.676384</v>
      </c>
    </row>
    <row r="11" spans="1:2" x14ac:dyDescent="0.25">
      <c r="A11" t="s">
        <v>62</v>
      </c>
      <c r="B11" s="18">
        <f>Forecast!B17+B10</f>
        <v>49624499399.100296</v>
      </c>
    </row>
    <row r="12" spans="1:2" x14ac:dyDescent="0.25">
      <c r="A12" t="s">
        <v>63</v>
      </c>
      <c r="B12" s="18">
        <f>-Assumptions!B30</f>
        <v>-3363000000</v>
      </c>
    </row>
    <row r="13" spans="1:2" x14ac:dyDescent="0.25">
      <c r="A13" t="s">
        <v>64</v>
      </c>
      <c r="B13" s="18">
        <f>B11+B12</f>
        <v>46261499399.100296</v>
      </c>
    </row>
    <row r="14" spans="1:2" x14ac:dyDescent="0.25">
      <c r="A14" s="19" t="s">
        <v>65</v>
      </c>
      <c r="B14" s="24">
        <f>B13/Assumptions!B31</f>
        <v>105.37926970182299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4679002093.431846</v>
      </c>
    </row>
    <row r="18" spans="1:2" x14ac:dyDescent="0.25">
      <c r="A18" t="s">
        <v>60</v>
      </c>
      <c r="B18" s="18">
        <f>B17*Assumptions!B13</f>
        <v>36488303587.58965</v>
      </c>
    </row>
    <row r="19" spans="1:2" x14ac:dyDescent="0.25">
      <c r="A19" t="s">
        <v>61</v>
      </c>
      <c r="B19" s="18">
        <f>B18/(1+Assumptions!B26)^(5-0.5*Assumptions!B32)</f>
        <v>25963046090.117805</v>
      </c>
    </row>
    <row r="20" spans="1:2" x14ac:dyDescent="0.25">
      <c r="A20" t="s">
        <v>62</v>
      </c>
      <c r="B20" s="18">
        <f>Forecast!B17+B19</f>
        <v>39118319764.54172</v>
      </c>
    </row>
    <row r="21" spans="1:2" x14ac:dyDescent="0.25">
      <c r="A21" t="s">
        <v>63</v>
      </c>
      <c r="B21" s="18">
        <f>-Assumptions!B30</f>
        <v>-3363000000</v>
      </c>
    </row>
    <row r="22" spans="1:2" x14ac:dyDescent="0.25">
      <c r="A22" t="s">
        <v>64</v>
      </c>
      <c r="B22" s="18">
        <f>B20+B21</f>
        <v>35755319764.54172</v>
      </c>
    </row>
    <row r="23" spans="1:2" x14ac:dyDescent="0.25">
      <c r="A23" s="19" t="s">
        <v>65</v>
      </c>
      <c r="B23" s="25">
        <f>B22/Assumptions!B31</f>
        <v>81.44719764132509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64.45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105.37926970182299</v>
      </c>
    </row>
    <row r="29" spans="1:2" x14ac:dyDescent="0.25">
      <c r="A29" s="19" t="s">
        <v>73</v>
      </c>
      <c r="B29" s="12">
        <f>B28/B26-1</f>
        <v>0.6350546113548952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0.058559</v>
      </c>
      <c r="B5" s="31">
        <v>144.157717607238</v>
      </c>
      <c r="C5" s="31">
        <v>154.54098854450484</v>
      </c>
      <c r="D5" s="31">
        <v>167.9517812737508</v>
      </c>
      <c r="E5" s="31">
        <v>185.98023644694862</v>
      </c>
      <c r="F5" s="31">
        <v>211.5664167432985</v>
      </c>
    </row>
    <row r="6" spans="1:6" x14ac:dyDescent="0.25">
      <c r="A6" s="30">
        <v>0.068559</v>
      </c>
      <c r="B6" s="31">
        <v>116.89229484806008</v>
      </c>
      <c r="C6" s="31">
        <v>122.57616945391035</v>
      </c>
      <c r="D6" s="31">
        <v>129.5157917398699</v>
      </c>
      <c r="E6" s="31">
        <v>138.1996654327376</v>
      </c>
      <c r="F6" s="31">
        <v>149.40742553664418</v>
      </c>
    </row>
    <row r="7" spans="1:6" x14ac:dyDescent="0.25">
      <c r="A7" s="30">
        <v>0.078559</v>
      </c>
      <c r="B7" s="31">
        <v>98.1796445600607</v>
      </c>
      <c r="C7" s="31">
        <v>101.48983126727747</v>
      </c>
      <c r="D7" s="32">
        <v>105.37975373128643</v>
      </c>
      <c r="E7" s="31">
        <v>110.0284938185158</v>
      </c>
      <c r="F7" s="31">
        <v>115.69735836218725</v>
      </c>
    </row>
    <row r="8" spans="1:6" x14ac:dyDescent="0.25">
      <c r="A8" s="30">
        <v>0.088559</v>
      </c>
      <c r="B8" s="31">
        <v>84.53300714643781</v>
      </c>
      <c r="C8" s="31">
        <v>86.52370750678836</v>
      </c>
      <c r="D8" s="31">
        <v>88.79664437507772</v>
      </c>
      <c r="E8" s="31">
        <v>91.42411317334322</v>
      </c>
      <c r="F8" s="31">
        <v>94.50540587771667</v>
      </c>
    </row>
    <row r="9" spans="1:6" x14ac:dyDescent="0.25">
      <c r="A9" s="30">
        <v>0.098559</v>
      </c>
      <c r="B9" s="31">
        <v>74.13466433206452</v>
      </c>
      <c r="C9" s="31">
        <v>75.3421899130014</v>
      </c>
      <c r="D9" s="31">
        <v>76.68819312509726</v>
      </c>
      <c r="E9" s="31">
        <v>78.20297144158506</v>
      </c>
      <c r="F9" s="31">
        <v>79.92635598891239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17126000000</v>
      </c>
      <c r="C5" s="18">
        <v>16300000000</v>
      </c>
      <c r="D5" s="18">
        <v>13980000000</v>
      </c>
      <c r="E5" s="18">
        <v>14913000000</v>
      </c>
      <c r="F5" s="8" t="s">
        <v>84</v>
      </c>
    </row>
    <row r="6" spans="1:6" x14ac:dyDescent="0.25">
      <c r="A6" t="s">
        <v>44</v>
      </c>
      <c r="B6" s="18">
        <v>3496000000</v>
      </c>
      <c r="C6" s="18">
        <v>3229000000</v>
      </c>
      <c r="D6" s="18">
        <v>2478000000</v>
      </c>
      <c r="E6" s="18">
        <v>2764000000</v>
      </c>
      <c r="F6" s="8" t="s">
        <v>85</v>
      </c>
    </row>
    <row r="7" spans="1:6" x14ac:dyDescent="0.25">
      <c r="A7" t="s">
        <v>86</v>
      </c>
      <c r="B7" s="18">
        <v>410000000</v>
      </c>
      <c r="C7" s="18">
        <v>385000000</v>
      </c>
      <c r="D7" s="18">
        <v>389000000</v>
      </c>
      <c r="E7" s="18">
        <v>411000000</v>
      </c>
      <c r="F7" s="8" t="s">
        <v>87</v>
      </c>
    </row>
    <row r="8" spans="1:6" x14ac:dyDescent="0.25">
      <c r="A8" t="s">
        <v>88</v>
      </c>
      <c r="B8" s="18">
        <v>502000000</v>
      </c>
      <c r="C8" s="18">
        <v>331000000</v>
      </c>
      <c r="D8" s="18">
        <v>345000000</v>
      </c>
      <c r="E8" s="18">
        <v>357000000</v>
      </c>
      <c r="F8" s="8" t="s">
        <v>89</v>
      </c>
    </row>
    <row r="9" spans="1:6" x14ac:dyDescent="0.25">
      <c r="A9" t="s">
        <v>90</v>
      </c>
      <c r="B9" s="18">
        <v>1546000000</v>
      </c>
      <c r="C9" s="18">
        <v>-476000000</v>
      </c>
      <c r="D9" s="18">
        <v>554000000</v>
      </c>
      <c r="E9" s="18">
        <v>270000000</v>
      </c>
      <c r="F9" s="8" t="s">
        <v>91</v>
      </c>
    </row>
    <row r="10" spans="1:6" x14ac:dyDescent="0.25">
      <c r="A10" t="s">
        <v>92</v>
      </c>
      <c r="B10" s="18">
        <v>7568000000</v>
      </c>
      <c r="C10" s="18">
        <v>7465000000</v>
      </c>
      <c r="D10" s="18">
        <v>8152000000</v>
      </c>
      <c r="E10" s="18">
        <v>8207000000</v>
      </c>
      <c r="F10" s="8" t="s">
        <v>93</v>
      </c>
    </row>
    <row r="11" spans="1:6" x14ac:dyDescent="0.25">
      <c r="A11" t="s">
        <v>94</v>
      </c>
      <c r="B11" s="18">
        <v>4205000000</v>
      </c>
      <c r="C11" s="18">
        <v>5351000000</v>
      </c>
      <c r="D11" s="18">
        <v>4319000000</v>
      </c>
      <c r="E11" s="18">
        <v>4272000000</v>
      </c>
      <c r="F11" s="8" t="s">
        <v>95</v>
      </c>
    </row>
    <row r="12" spans="1:6" x14ac:dyDescent="0.25">
      <c r="A12" t="s">
        <v>32</v>
      </c>
      <c r="B12" s="34">
        <v>439000000</v>
      </c>
      <c r="C12" s="34">
        <v>461000000</v>
      </c>
      <c r="D12" s="34">
        <v>480000000</v>
      </c>
      <c r="E12" s="34">
        <v>531000000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2026-09-19T01:05:15Z</dcterms:modified>
</cp:coreProperties>
</file>