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<sst xmlns="http://schemas.openxmlformats.org/spreadsheetml/2006/main" count="117" uniqueCount="105">
  <si>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Fisher &amp; Paykel Healthcare Corporation Limited (FPH.NZ)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</si>
  <si>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</si>
  <si>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</si>
  <si>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</si>
  <si>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</si>
  <si>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</si>
  <si>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</si>
  <si>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</si>
  <si>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</si>
  <si>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</si>
  <si>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</si>
  <si>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</si>
  <si>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</si>
  <si>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</si>
  <si>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</si>
  <si>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</si>
  <si>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</si>
  <si>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</si>
  <si>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</si>
  <si>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</si>
  <si>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</si>
  <si>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</si>
  <si>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</si>
  <si>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</si>
  <si>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</si>
  <si>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</si>
  <si>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</si>
  <si>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</si>
  <si>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</si>
  <si>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</si>
  <si>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2026-03-31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</si>
  <si>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</si>
  <si>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</si>
  <si>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</si>
  <si>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</si>
  <si>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</si>
  <si>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</si>
  <si>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</si>
  <si>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</si>
  <si>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</si>
  <si>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</si>
  <si>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</si>
  <si>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</si>
  <si>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</si>
  <si>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</si>
  <si>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</si>
  <si>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</si>
  <si>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</si>
  <si>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</si>
  <si>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</si>
  <si>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</si>
  <si>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</si>
  <si>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</si>
  <si>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</si>
  <si>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</si>
  <si>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</si>
  <si>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</si>
  <si>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</si>
  <si>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</si>
  <si>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</si>
  <si>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</si>
  <si>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</si>
  <si>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</si>
  <si>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</si>
  <si>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</si>
  <si>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</si>
  <si>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</si>
  <si>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</si>
  <si>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</si>
  <si>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</si>
  <si>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</si>
  <si>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</si>
  <si>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</si>
  <si>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</si>
  <si>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</si>
  <si>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</si>
  <si>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</si>
  <si>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</si>
  <si>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</si>
  <si>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</si>
  <si>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</si>
  <si>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</si>
  <si>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</si>
  <si>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</si>
  <si>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</si>
  <si>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</si>
  <si>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</si>
  <si>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</si>
  <si>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</si>
  <si>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</si>
  <si>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</si>
  <si>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</si>
  <si>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</si>
  <si>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</si>
  <si>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</si>
  <si>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</si>
  <si>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</si>
  <si>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</si>
  <si>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4.9%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</si>
  <si>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</si>
  <si>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</si>
  <si>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12.3% of revenue against depreciation of 7.6%.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</si>
  <si>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NZD assumption - no free live source available for this market.</t>
  </si>
  <si>
    <t>Current EV/EBITDA of 40.3x sits outside a defensible 3-20x band, so the exit multiple is capped at 20.0x. A multiple that far out usually means EBITDA is the wrong denominator for this business.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</si>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</sst>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0.1326581018108306</v>
      </c>
    </row>
    <row r="7" spans="1:2" x14ac:dyDescent="0.25">
      <c r="A7" t="s">
        <v>5</v>
      </c>
      <c r="B7" s="6">
        <v>0.053356520912446775</v>
      </c>
    </row>
    <row r="8" spans="1:2" x14ac:dyDescent="0.25">
      <c r="A8" t="s">
        <v>6</v>
      </c>
      <c r="B8" s="6">
        <v>0.2543309957919851</v>
      </c>
    </row>
    <row r="9" spans="1:2" x14ac:dyDescent="0.25">
      <c r="A9" t="s">
        <v>7</v>
      </c>
      <c r="B9" s="6">
        <v>0.07632731280987118</v>
      </c>
    </row>
    <row r="10" spans="1:2" x14ac:dyDescent="0.25">
      <c r="A10" t="s">
        <v>8</v>
      </c>
      <c r="B10" s="6">
        <v>0.12271065579490627</v>
      </c>
    </row>
    <row r="11" spans="1:2" x14ac:dyDescent="0.25">
      <c r="A11" t="s">
        <v>9</v>
      </c>
      <c r="B11" s="6">
        <v>0.0046688065363291505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0.10529771399068695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0.93233</v>
      </c>
      <c r="C19" s="8" t="s">
        <v>19</v>
      </c>
    </row>
    <row r="20" spans="1:2" x14ac:dyDescent="0.25">
      <c r="A20" t="s">
        <v>20</v>
      </c>
      <c r="B20" s="10">
        <f>B17+B19*B18</f>
        <v>0.10560145</v>
      </c>
    </row>
    <row r="21" spans="1:3" x14ac:dyDescent="0.25">
      <c r="A21" t="s">
        <v>21</v>
      </c>
      <c r="B21" s="6">
        <v>0.06880427521710086</v>
      </c>
      <c r="C21" s="8" t="s">
        <v>22</v>
      </c>
    </row>
    <row r="22" spans="1:2" x14ac:dyDescent="0.25">
      <c r="A22" t="s">
        <v>23</v>
      </c>
      <c r="B22" s="11">
        <v>25970921472</v>
      </c>
    </row>
    <row r="23" spans="1:2" x14ac:dyDescent="0.25">
      <c r="A23" t="s">
        <v>24</v>
      </c>
      <c r="B23" s="11">
        <v>146100000</v>
      </c>
    </row>
    <row r="24" spans="1:2" x14ac:dyDescent="0.25">
      <c r="A24" t="s">
        <v>25</v>
      </c>
      <c r="B24" s="10">
        <f>B22/(B22+B23)</f>
        <v>0.9944059470886972</v>
      </c>
    </row>
    <row r="25" spans="1:2" x14ac:dyDescent="0.25">
      <c r="A25" t="s">
        <v>26</v>
      </c>
      <c r="B25" s="10">
        <f>1-B24</f>
        <v>0.0055940529113027715</v>
      </c>
    </row>
    <row r="26" spans="1:2" x14ac:dyDescent="0.25">
      <c r="A26" t="s">
        <v>27</v>
      </c>
      <c r="B26" s="12">
        <f>B24*B20+B25*B21*(1-B8)</f>
        <v>0.10529771399068695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2308400000</v>
      </c>
      <c r="C29" s="8" t="s">
        <v>30</v>
      </c>
    </row>
    <row r="30" spans="1:2" x14ac:dyDescent="0.25">
      <c r="A30" t="s">
        <v>31</v>
      </c>
      <c r="B30" s="11">
        <v>-315000000</v>
      </c>
    </row>
    <row r="31" spans="1:2" x14ac:dyDescent="0.25">
      <c r="A31" t="s">
        <v>32</v>
      </c>
      <c r="B31" s="13">
        <v>590794451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0.1326581018108306</v>
      </c>
      <c r="C5" s="10">
        <f>Assumptions!B6</f>
        <v>0.1326581018108306</v>
      </c>
      <c r="D5" s="10">
        <f>Assumptions!B6</f>
        <v>0.1326581018108306</v>
      </c>
      <c r="E5" s="10">
        <f>Assumptions!B6</f>
        <v>0.1326581018108306</v>
      </c>
      <c r="F5" s="10">
        <f>Assumptions!B6</f>
        <v>0.1326581018108306</v>
      </c>
    </row>
    <row r="6" spans="1:6" x14ac:dyDescent="0.25">
      <c r="A6" t="s">
        <v>43</v>
      </c>
      <c r="B6" s="18">
        <f>Assumptions!B29*(1+B5)</f>
        <v>2614627962.2201214</v>
      </c>
      <c r="C6" s="18">
        <f>B6*(1+C5)</f>
        <v>2961479544.6297626</v>
      </c>
      <c r="D6" s="18">
        <f>C6*(1+D5)</f>
        <v>3354343799.57195</v>
      </c>
      <c r="E6" s="18">
        <f>D6*(1+E5)</f>
        <v>3799324680.8440943</v>
      </c>
      <c r="F6" s="18">
        <f>E6*(1+F5)</f>
        <v>4303335881.167912</v>
      </c>
    </row>
    <row r="7" spans="1:6" x14ac:dyDescent="0.25">
      <c r="A7" t="s">
        <v>5</v>
      </c>
      <c r="B7" s="10">
        <f>Assumptions!B7</f>
        <v>0.053356520912446775</v>
      </c>
      <c r="C7" s="10">
        <f>Assumptions!B7</f>
        <v>0.053356520912446775</v>
      </c>
      <c r="D7" s="10">
        <f>Assumptions!B7</f>
        <v>0.053356520912446775</v>
      </c>
      <c r="E7" s="10">
        <f>Assumptions!B7</f>
        <v>0.053356520912446775</v>
      </c>
      <c r="F7" s="10">
        <f>Assumptions!B7</f>
        <v>0.053356520912446775</v>
      </c>
    </row>
    <row r="8" spans="1:6" x14ac:dyDescent="0.25">
      <c r="A8" t="s">
        <v>44</v>
      </c>
      <c r="B8" s="18">
        <f>B6*B7</f>
        <v>139507451.54446602</v>
      </c>
      <c r="C8" s="18">
        <f>C6*C7</f>
        <v>158014245.25482127</v>
      </c>
      <c r="D8" s="18">
        <f>D6*D7</f>
        <v>178976115.08939692</v>
      </c>
      <c r="E8" s="18">
        <f>E6*E7</f>
        <v>202718746.78663307</v>
      </c>
      <c r="F8" s="18">
        <f>F6*F7</f>
        <v>229611030.93681824</v>
      </c>
    </row>
    <row r="9" spans="1:6" x14ac:dyDescent="0.25">
      <c r="A9" t="s">
        <v>45</v>
      </c>
      <c r="B9" s="18">
        <f>B8*(1-Assumptions!B8)</f>
        <v>104026382.47275987</v>
      </c>
      <c r="C9" s="18">
        <f>C8*(1-Assumptions!B8)</f>
        <v>117826324.90984362</v>
      </c>
      <c r="D9" s="18">
        <f>D8*(1-Assumptions!B8)</f>
        <v>133456941.51572968</v>
      </c>
      <c r="E9" s="18">
        <f>E8*(1-Assumptions!B8)</f>
        <v>151161086.0506854</v>
      </c>
      <c r="F9" s="18">
        <f>F8*(1-Assumptions!B8)</f>
        <v>171213828.793833</v>
      </c>
    </row>
    <row r="10" spans="1:6" x14ac:dyDescent="0.25">
      <c r="A10" t="s">
        <v>46</v>
      </c>
      <c r="B10" s="18">
        <f>B6*Assumptions!B9</f>
        <v>199567526.35381123</v>
      </c>
      <c r="C10" s="18">
        <f>C6*Assumptions!B9</f>
        <v>226041775.58299074</v>
      </c>
      <c r="D10" s="18">
        <f>D6*Assumptions!B9</f>
        <v>256028048.46178007</v>
      </c>
      <c r="E10" s="18">
        <f>E6*Assumptions!B9</f>
        <v>289992243.3810512</v>
      </c>
      <c r="F10" s="18">
        <f>F6*Assumptions!B9</f>
        <v>328462063.92784584</v>
      </c>
    </row>
    <row r="11" spans="1:6" x14ac:dyDescent="0.25">
      <c r="A11" t="s">
        <v>47</v>
      </c>
      <c r="B11" s="18">
        <f>-B6*Assumptions!B10</f>
        <v>-320842711.9037305</v>
      </c>
      <c r="C11" s="18">
        <f>-C6*Assumptions!B10</f>
        <v>-363405097.04471856</v>
      </c>
      <c r="D11" s="18">
        <f>-D6*Assumptions!B10</f>
        <v>-411613727.4070516</v>
      </c>
      <c r="E11" s="18">
        <f>-E6*Assumptions!B10</f>
        <v>-466217623.1641518</v>
      </c>
      <c r="F11" s="18">
        <f>-F6*Assumptions!B10</f>
        <v>-528065168.0838652</v>
      </c>
    </row>
    <row r="12" spans="1:6" x14ac:dyDescent="0.25">
      <c r="A12" t="s">
        <v>48</v>
      </c>
      <c r="B12" s="18">
        <f>-(B6-Assumptions!B29)*Assumptions!B11</f>
        <v>-1429719.1116200588</v>
      </c>
      <c r="C12" s="18">
        <f>-(C6-B6)*Assumptions!B11</f>
        <v>-1619382.9350902422</v>
      </c>
      <c r="D12" s="18">
        <f>-(D6-C6)*Assumptions!B11</f>
        <v>-1834207.2013641659</v>
      </c>
      <c r="E12" s="18">
        <f>-(E6-D6)*Assumptions!B11</f>
        <v>-2077529.647024893</v>
      </c>
      <c r="F12" s="18">
        <f>-(F6-E6)*Assumptions!B11</f>
        <v>-2353130.786454939</v>
      </c>
    </row>
    <row r="13" spans="1:6" x14ac:dyDescent="0.25">
      <c r="A13" s="19" t="s">
        <v>49</v>
      </c>
      <c r="B13" s="20">
        <f>B9+B10+B11+B12</f>
        <v>-18678522.188779462</v>
      </c>
      <c r="C13" s="20">
        <f>C9+C10+C11+C12</f>
        <v>-21156379.486974478</v>
      </c>
      <c r="D13" s="20">
        <f>D9+D10+D11+D12</f>
        <v>-23962944.630906053</v>
      </c>
      <c r="E13" s="20">
        <f>E9+E10+E11+E12</f>
        <v>-27141823.37944009</v>
      </c>
      <c r="F13" s="20">
        <f>F9+F10+F11+F12</f>
        <v>-30742406.14864131</v>
      </c>
    </row>
    <row r="14" spans="1:6" x14ac:dyDescent="0.25">
      <c r="A14" t="s">
        <v>50</v>
      </c>
      <c r="B14" s="21">
        <f>1/(1+Assumptions!$B$26)^(1-0.5*Assumptions!$B$32)</f>
        <v>0.951174862067891</v>
      </c>
      <c r="C14" s="21">
        <f>1/(1+Assumptions!$B$26)^(2-0.5*Assumptions!$B$32)</f>
        <v>0.8605598745279822</v>
      </c>
      <c r="D14" s="21">
        <f>1/(1+Assumptions!$B$26)^(3-0.5*Assumptions!$B$32)</f>
        <v>0.7785774489851456</v>
      </c>
      <c r="E14" s="21">
        <f>1/(1+Assumptions!$B$26)^(4-0.5*Assumptions!$B$32)</f>
        <v>0.704405192492514</v>
      </c>
      <c r="F14" s="21">
        <f>1/(1+Assumptions!$B$26)^(5-0.5*Assumptions!$B$32)</f>
        <v>0.6372990585036613</v>
      </c>
    </row>
    <row r="15" spans="1:6" x14ac:dyDescent="0.25">
      <c r="A15" s="19" t="s">
        <v>51</v>
      </c>
      <c r="B15" s="20">
        <f>B13*B14</f>
        <v>-17766540.766544346</v>
      </c>
      <c r="C15" s="20">
        <f>C13*C14</f>
        <v>-18206331.276777133</v>
      </c>
      <c r="D15" s="20">
        <f>D13*D14</f>
        <v>-18657008.300903127</v>
      </c>
      <c r="E15" s="20">
        <f>E13*E14</f>
        <v>-19118841.322192315</v>
      </c>
      <c r="F15" s="20">
        <f>F13*F14</f>
        <v>-19592106.494666275</v>
      </c>
    </row>
    <row r="17" spans="1:2" x14ac:dyDescent="0.25">
      <c r="A17" s="22" t="s">
        <v>52</v>
      </c>
      <c r="B17" s="23">
        <f>SUM(B15:F15)</f>
        <v>-93340828.16108319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-30742406.14864131</v>
      </c>
    </row>
    <row r="5" spans="1:2" x14ac:dyDescent="0.25">
      <c r="A5" t="s">
        <v>56</v>
      </c>
      <c r="B5" s="18">
        <f>IF(Assumptions!$B$33=0,B4,B4-Forecast!F11-Forecast!F10-Forecast!F12)</f>
        <v>171213828.793833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0.23742205839540947</v>
      </c>
    </row>
    <row r="7" spans="1:2" x14ac:dyDescent="0.25">
      <c r="A7" t="s">
        <v>58</v>
      </c>
      <c r="B7" s="18">
        <f>-MAX(Forecast!F9,0)*B6</f>
        <v>-40649939.65799106</v>
      </c>
    </row>
    <row r="8" spans="1:2" x14ac:dyDescent="0.25">
      <c r="A8" t="s">
        <v>59</v>
      </c>
      <c r="B8" s="18">
        <f>IF(OR(Assumptions!$B$33=0,Assumptions!B12&lt;=0),B5,MAX(B5+B7,0))</f>
        <v>130563889.13584194</v>
      </c>
    </row>
    <row r="9" spans="1:2" x14ac:dyDescent="0.25">
      <c r="A9" t="s">
        <v>60</v>
      </c>
      <c r="B9" s="18">
        <f>B8*(1+Assumptions!B12)/(Assumptions!B26-Assumptions!B12)</f>
        <v>1666647525.9776332</v>
      </c>
    </row>
    <row r="10" spans="1:2" x14ac:dyDescent="0.25">
      <c r="A10" t="s">
        <v>61</v>
      </c>
      <c r="B10" s="18">
        <f>B9/(1+Assumptions!B26)^(5-0.5*Assumptions!B32)</f>
        <v>1062152899.163002</v>
      </c>
    </row>
    <row r="11" spans="1:2" x14ac:dyDescent="0.25">
      <c r="A11" t="s">
        <v>62</v>
      </c>
      <c r="B11" s="18">
        <f>Forecast!B17+B10</f>
        <v>968812071.0019188</v>
      </c>
    </row>
    <row r="12" spans="1:2" x14ac:dyDescent="0.25">
      <c r="A12" t="s">
        <v>63</v>
      </c>
      <c r="B12" s="18">
        <f>-Assumptions!B30</f>
        <v>315000000</v>
      </c>
    </row>
    <row r="13" spans="1:2" x14ac:dyDescent="0.25">
      <c r="A13" t="s">
        <v>64</v>
      </c>
      <c r="B13" s="18">
        <f>B11+B12</f>
        <v>1283812071.0019188</v>
      </c>
    </row>
    <row r="14" spans="1:2" x14ac:dyDescent="0.25">
      <c r="A14" s="19" t="s">
        <v>65</v>
      </c>
      <c r="B14" s="24">
        <f>B13/Assumptions!B31</f>
        <v>2.173026623437123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558073094.8646641</v>
      </c>
    </row>
    <row r="18" spans="1:2" x14ac:dyDescent="0.25">
      <c r="A18" t="s">
        <v>60</v>
      </c>
      <c r="B18" s="18">
        <f>B17*Assumptions!B13</f>
        <v>11161461897.293282</v>
      </c>
    </row>
    <row r="19" spans="1:2" x14ac:dyDescent="0.25">
      <c r="A19" t="s">
        <v>61</v>
      </c>
      <c r="B19" s="18">
        <f>B18/(1+Assumptions!B26)^(5-0.5*Assumptions!B32)</f>
        <v>7113189158.6694975</v>
      </c>
    </row>
    <row r="20" spans="1:2" x14ac:dyDescent="0.25">
      <c r="A20" t="s">
        <v>62</v>
      </c>
      <c r="B20" s="18">
        <f>Forecast!B17+B19</f>
        <v>7019848330.508414</v>
      </c>
    </row>
    <row r="21" spans="1:2" x14ac:dyDescent="0.25">
      <c r="A21" t="s">
        <v>63</v>
      </c>
      <c r="B21" s="18">
        <f>-Assumptions!B30</f>
        <v>315000000</v>
      </c>
    </row>
    <row r="22" spans="1:2" x14ac:dyDescent="0.25">
      <c r="A22" t="s">
        <v>64</v>
      </c>
      <c r="B22" s="18">
        <f>B20+B21</f>
        <v>7334848330.508414</v>
      </c>
    </row>
    <row r="23" spans="1:2" x14ac:dyDescent="0.25">
      <c r="A23" s="19" t="s">
        <v>65</v>
      </c>
      <c r="B23" s="25">
        <f>B22/Assumptions!B31</f>
        <v>12.415228880523818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44.15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2.173026623437123</v>
      </c>
    </row>
    <row r="29" spans="1:2" x14ac:dyDescent="0.25">
      <c r="A29" s="19" t="s">
        <v>73</v>
      </c>
      <c r="B29" s="12">
        <f>B28/B26-1</f>
        <v>-0.950780823931209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0.085298</v>
      </c>
      <c r="B5" s="31">
        <v>2.8338135964917543</v>
      </c>
      <c r="C5" s="31">
        <v>2.881086445258195</v>
      </c>
      <c r="D5" s="31">
        <v>2.9345572775556</v>
      </c>
      <c r="E5" s="31">
        <v>2.99590734321153</v>
      </c>
      <c r="F5" s="31">
        <v>3.067486407631725</v>
      </c>
    </row>
    <row r="6" spans="1:6" x14ac:dyDescent="0.25">
      <c r="A6" s="30">
        <v>0.095298</v>
      </c>
      <c r="B6" s="31">
        <v>2.4432496666417283</v>
      </c>
      <c r="C6" s="31">
        <v>2.463017050127932</v>
      </c>
      <c r="D6" s="31">
        <v>2.484244992251007</v>
      </c>
      <c r="E6" s="31">
        <v>2.50726900680239</v>
      </c>
      <c r="F6" s="31">
        <v>2.5325358927874295</v>
      </c>
    </row>
    <row r="7" spans="1:6" x14ac:dyDescent="0.25">
      <c r="A7" s="30">
        <v>0.105298</v>
      </c>
      <c r="B7" s="31">
        <v>2.155479933006887</v>
      </c>
      <c r="C7" s="31">
        <v>2.1642498419647462</v>
      </c>
      <c r="D7" s="32">
        <v>2.1730197509226037</v>
      </c>
      <c r="E7" s="31">
        <v>2.181789659880463</v>
      </c>
      <c r="F7" s="31">
        <v>2.1905595688383213</v>
      </c>
    </row>
    <row r="8" spans="1:6" x14ac:dyDescent="0.25">
      <c r="A8" s="30">
        <v>0.115298</v>
      </c>
      <c r="B8" s="31">
        <v>1.9400658586731832</v>
      </c>
      <c r="C8" s="31">
        <v>1.9477570126648454</v>
      </c>
      <c r="D8" s="31">
        <v>1.9554481666565078</v>
      </c>
      <c r="E8" s="31">
        <v>1.9631393206481702</v>
      </c>
      <c r="F8" s="31">
        <v>1.9708304746398329</v>
      </c>
    </row>
    <row r="9" spans="1:6" x14ac:dyDescent="0.25">
      <c r="A9" s="30">
        <v>0.125298</v>
      </c>
      <c r="B9" s="31">
        <v>1.762330189294079</v>
      </c>
      <c r="C9" s="31">
        <v>1.769128865152873</v>
      </c>
      <c r="D9" s="31">
        <v>1.775927541011666</v>
      </c>
      <c r="E9" s="31">
        <v>1.7827262168704596</v>
      </c>
      <c r="F9" s="31">
        <v>1.7895248927292526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2308400000</v>
      </c>
      <c r="C5" s="18">
        <v>1280300000</v>
      </c>
      <c r="D5" s="18">
        <v>1758100000</v>
      </c>
      <c r="E5" s="18">
        <v>1588600000</v>
      </c>
      <c r="F5" s="8" t="s">
        <v>84</v>
      </c>
    </row>
    <row r="6" spans="1:6" x14ac:dyDescent="0.25">
      <c r="A6" t="s">
        <v>44</v>
      </c>
      <c r="B6" s="18">
        <v>477800000</v>
      </c>
      <c r="C6" s="18">
        <v>-371000000</v>
      </c>
      <c r="D6" s="18">
        <v>254400000</v>
      </c>
      <c r="E6" s="18">
        <v>240700000</v>
      </c>
      <c r="F6" s="8" t="s">
        <v>85</v>
      </c>
    </row>
    <row r="7" spans="1:6" x14ac:dyDescent="0.25">
      <c r="A7" t="s">
        <v>86</v>
      </c>
      <c r="B7" s="18">
        <v>158600000</v>
      </c>
      <c r="C7" s="18">
        <v>139900000</v>
      </c>
      <c r="D7" s="18">
        <v>114300000</v>
      </c>
      <c r="E7" s="18">
        <v>99000000</v>
      </c>
      <c r="F7" s="8" t="s">
        <v>87</v>
      </c>
    </row>
    <row r="8" spans="1:6" x14ac:dyDescent="0.25">
      <c r="A8" t="s">
        <v>88</v>
      </c>
      <c r="B8" s="18">
        <v>195200000</v>
      </c>
      <c r="C8" s="18">
        <v>103000000</v>
      </c>
      <c r="D8" s="18">
        <v>339000000</v>
      </c>
      <c r="E8" s="18">
        <v>211300000</v>
      </c>
      <c r="F8" s="8" t="s">
        <v>89</v>
      </c>
    </row>
    <row r="9" spans="1:6" x14ac:dyDescent="0.25">
      <c r="A9" t="s">
        <v>90</v>
      </c>
      <c r="B9" s="18">
        <v>4800000</v>
      </c>
      <c r="C9" s="18">
        <v>46300000</v>
      </c>
      <c r="D9" s="18">
        <v>3700000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146100000</v>
      </c>
      <c r="C10" s="18">
        <v>153300000</v>
      </c>
      <c r="D10" s="18">
        <v>189100000</v>
      </c>
      <c r="E10" s="18">
        <v>145800000</v>
      </c>
      <c r="F10" s="8" t="s">
        <v>93</v>
      </c>
    </row>
    <row r="11" spans="1:6" x14ac:dyDescent="0.25">
      <c r="A11" t="s">
        <v>94</v>
      </c>
      <c r="B11" s="18">
        <v>461100000</v>
      </c>
      <c r="C11" s="18">
        <v>264500000</v>
      </c>
      <c r="D11" s="18">
        <v>82000000</v>
      </c>
      <c r="E11" s="18">
        <v>121000000</v>
      </c>
      <c r="F11" s="8" t="s">
        <v>95</v>
      </c>
    </row>
    <row r="12" spans="1:6" x14ac:dyDescent="0.25">
      <c r="A12" t="s">
        <v>32</v>
      </c>
      <c r="B12" s="34">
        <v>590794451</v>
      </c>
      <c r="C12" s="34">
        <v>590297340</v>
      </c>
      <c r="D12" s="34">
        <v>586725664</v>
      </c>
      <c r="E12" s="34">
        <v>582093023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1" ht="38" customHeight="1" spans="1:6" x14ac:dyDescent="0.25">
      <c r="A21" s="35" t="s">
        <v>103</v>
      </c>
      <c r="B21" s="35"/>
      <c r="C21" s="35"/>
      <c r="D21" s="35"/>
      <c r="E21" s="35"/>
      <c r="F21" s="35"/>
    </row>
    <row r="23" spans="1:1" x14ac:dyDescent="0.25">
      <c r="A23" s="36" t="s">
        <v>104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2026-09-19T01:06:07Z</dcterms:modified>
</cp:coreProperties>
</file>