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<sst xmlns="http://schemas.openxmlformats.org/spreadsheetml/2006/main" count="129" uniqueCount="104">
  <si>
    <t>Fresenius SE &amp; Co. KGaA (FRE.DE)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</si>
  <si>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</si>
  <si>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</si>
  <si>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</si>
  <si>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</si>
  <si>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</si>
  <si>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</si>
  <si>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</si>
  <si>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</si>
  <si>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</si>
  <si>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</si>
  <si>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</si>
  <si>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</si>
  <si>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</si>
  <si>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</si>
  <si>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</si>
  <si>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</si>
  <si>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</si>
  <si>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</si>
  <si>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</si>
  <si>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</si>
  <si>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</si>
  <si>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</si>
  <si>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</si>
  <si>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</si>
  <si>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</si>
  <si>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</si>
  <si>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</si>
  <si>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</si>
  <si>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</si>
  <si>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</si>
  <si>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</si>
  <si>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</si>
  <si>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</si>
  <si>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</si>
  <si>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</si>
  <si>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</si>
  <si>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</si>
  <si>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</si>
  <si>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</si>
  <si>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</si>
  <si>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</si>
  <si>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</si>
  <si>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</si>
  <si>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</si>
  <si>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</si>
  <si>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</si>
  <si>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</si>
  <si>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</si>
  <si>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</si>
  <si>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</si>
  <si>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</si>
  <si>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</si>
  <si>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</si>
  <si>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</si>
  <si>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</si>
  <si>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</si>
  <si>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</si>
  <si>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</si>
  <si>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</si>
  <si>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</si>
  <si>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</si>
  <si>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</si>
  <si>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</si>
  <si>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</si>
  <si>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</si>
  <si>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</si>
  <si>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</si>
  <si>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</si>
  <si>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</si>
  <si>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</si>
  <si>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</si>
  <si>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</si>
  <si>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</si>
  <si>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</si>
  <si>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</si>
  <si>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</si>
  <si>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</si>
  <si>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</si>
  <si>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</si>
  <si>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</si>
  <si>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</si>
  <si>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</si>
  <si>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</si>
  <si>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</si>
  <si>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</si>
  <si>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</si>
  <si>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</si>
  <si>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</si>
  <si>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</si>
  <si>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</si>
  <si>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</si>
  <si>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</si>
  <si>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</si>
  <si>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</si>
  <si>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</si>
  <si>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</si>
  <si>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</si>
  <si>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</si>
  <si>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</si>
  <si>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Wrong tool: Terminal growth of 2.50% must be below the WACC of 2.48% for a perpetuity to converge.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</si>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</sst>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1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color rgb="FFC00000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0" fontId="9" fillId="0" borderId="1" xfId="0" applyFont="1" applyBorder="1" applyAlignment="1">
      <alignment vertical="top" wrapText="1" indent="1"/>
    </xf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10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0.02034314934807946</v>
      </c>
    </row>
    <row r="7" spans="1:2" x14ac:dyDescent="0.25">
      <c r="A7" t="s">
        <v>5</v>
      </c>
      <c r="B7" s="6">
        <v>0.08252569638889556</v>
      </c>
    </row>
    <row r="8" spans="1:2" x14ac:dyDescent="0.25">
      <c r="A8" t="s">
        <v>6</v>
      </c>
      <c r="B8" s="6">
        <v>0.29054870692372403</v>
      </c>
    </row>
    <row r="9" spans="1:2" x14ac:dyDescent="0.25">
      <c r="A9" t="s">
        <v>7</v>
      </c>
      <c r="B9" s="6">
        <v>0.056397709151948264</v>
      </c>
    </row>
    <row r="10" spans="1:2" x14ac:dyDescent="0.25">
      <c r="A10" t="s">
        <v>8</v>
      </c>
      <c r="B10" s="6">
        <v>0.0575450909224692</v>
      </c>
    </row>
    <row r="11" spans="1:2" x14ac:dyDescent="0.25">
      <c r="A11" t="s">
        <v>9</v>
      </c>
      <c r="B11" s="6">
        <v>-0.08906426155580609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0.0387127002954276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0.88945</v>
      </c>
      <c r="C19" s="8" t="s">
        <v>19</v>
      </c>
    </row>
    <row r="20" spans="1:2" x14ac:dyDescent="0.25">
      <c r="A20" t="s">
        <v>20</v>
      </c>
      <c r="B20" s="10">
        <f>B17+B19*B18</f>
        <v>0.079367</v>
      </c>
    </row>
    <row r="21" spans="1:3" x14ac:dyDescent="0.25">
      <c r="A21" t="s">
        <v>21</v>
      </c>
      <c r="B21" s="6">
        <v>0.03488827910623285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11933000000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0.02475153472512292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22873000000</v>
      </c>
      <c r="C29" s="8" t="s">
        <v>30</v>
      </c>
    </row>
    <row r="30" spans="1:2" x14ac:dyDescent="0.25">
      <c r="A30" t="s">
        <v>31</v>
      </c>
      <c r="B30" s="11">
        <v>10626000000</v>
      </c>
    </row>
    <row r="31" spans="1:2" x14ac:dyDescent="0.25">
      <c r="A31" t="s">
        <v>32</v>
      </c>
      <c r="B31" s="13">
        <v>563237277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0.02034314934807946</v>
      </c>
      <c r="C5" s="10">
        <f>Assumptions!B6</f>
        <v>0.02034314934807946</v>
      </c>
      <c r="D5" s="10">
        <f>Assumptions!B6</f>
        <v>0.02034314934807946</v>
      </c>
      <c r="E5" s="10">
        <f>Assumptions!B6</f>
        <v>0.02034314934807946</v>
      </c>
      <c r="F5" s="10">
        <f>Assumptions!B6</f>
        <v>0.02034314934807946</v>
      </c>
    </row>
    <row r="6" spans="1:6" x14ac:dyDescent="0.25">
      <c r="A6" t="s">
        <v>43</v>
      </c>
      <c r="B6" s="18">
        <f>Assumptions!B29*(1+B5)</f>
        <v>23338308855.03862</v>
      </c>
      <c r="C6" s="18">
        <f>B6*(1+C5)</f>
        <v>23813083557.608276</v>
      </c>
      <c r="D6" s="18">
        <f>C6*(1+D5)</f>
        <v>24297516672.858997</v>
      </c>
      <c r="E6" s="18">
        <f>D6*(1+E5)</f>
        <v>24791804683.32242</v>
      </c>
      <c r="F6" s="18">
        <f>E6*(1+F5)</f>
        <v>25296148068.60366</v>
      </c>
    </row>
    <row r="7" spans="1:6" x14ac:dyDescent="0.25">
      <c r="A7" t="s">
        <v>5</v>
      </c>
      <c r="B7" s="10">
        <f>Assumptions!B7</f>
        <v>0.08252569638889556</v>
      </c>
      <c r="C7" s="10">
        <f>Assumptions!B7</f>
        <v>0.08252569638889556</v>
      </c>
      <c r="D7" s="10">
        <f>Assumptions!B7</f>
        <v>0.08252569638889556</v>
      </c>
      <c r="E7" s="10">
        <f>Assumptions!B7</f>
        <v>0.08252569638889556</v>
      </c>
      <c r="F7" s="10">
        <f>Assumptions!B7</f>
        <v>0.08252569638889556</v>
      </c>
    </row>
    <row r="8" spans="1:6" x14ac:dyDescent="0.25">
      <c r="A8" t="s">
        <v>44</v>
      </c>
      <c r="B8" s="18">
        <f>B6*B7</f>
        <v>1926010190.80119</v>
      </c>
      <c r="C8" s="18">
        <f>C6*C7</f>
        <v>1965191303.7585816</v>
      </c>
      <c r="D8" s="18">
        <f>D6*D7</f>
        <v>2005169483.9484894</v>
      </c>
      <c r="E8" s="18">
        <f>E6*E7</f>
        <v>2045960946.228665</v>
      </c>
      <c r="F8" s="18">
        <f>F6*F7</f>
        <v>2087582235.3181326</v>
      </c>
    </row>
    <row r="9" spans="1:6" x14ac:dyDescent="0.25">
      <c r="A9" t="s">
        <v>45</v>
      </c>
      <c r="B9" s="18">
        <f>B8*(1-Assumptions!B8)</f>
        <v>1366410420.3419893</v>
      </c>
      <c r="C9" s="18">
        <f>C8*(1-Assumptions!B8)</f>
        <v>1394207511.5937784</v>
      </c>
      <c r="D9" s="18">
        <f>D8*(1-Assumptions!B8)</f>
        <v>1422570083.2243447</v>
      </c>
      <c r="E9" s="18">
        <f>E8*(1-Assumptions!B8)</f>
        <v>1451509638.8854876</v>
      </c>
      <c r="F9" s="18">
        <f>F8*(1-Assumptions!B8)</f>
        <v>1481037916.2495117</v>
      </c>
    </row>
    <row r="10" spans="1:6" x14ac:dyDescent="0.25">
      <c r="A10" t="s">
        <v>46</v>
      </c>
      <c r="B10" s="18">
        <f>B6*Assumptions!B9</f>
        <v>1316227154.9048069</v>
      </c>
      <c r="C10" s="18">
        <f>C6*Assumptions!B9</f>
        <v>1343003360.493033</v>
      </c>
      <c r="D10" s="18">
        <f>D6*Assumptions!B9</f>
        <v>1370324278.4305153</v>
      </c>
      <c r="E10" s="18">
        <f>E6*Assumptions!B9</f>
        <v>1398200989.8819265</v>
      </c>
      <c r="F10" s="18">
        <f>F6*Assumptions!B9</f>
        <v>1426644801.437727</v>
      </c>
    </row>
    <row r="11" spans="1:6" x14ac:dyDescent="0.25">
      <c r="A11" t="s">
        <v>47</v>
      </c>
      <c r="B11" s="18">
        <f>-B6*Assumptions!B10</f>
        <v>-1343005105.0398655</v>
      </c>
      <c r="C11" s="18">
        <f>-C6*Assumptions!B10</f>
        <v>-1370326058.4669247</v>
      </c>
      <c r="D11" s="18">
        <f>-D6*Assumptions!B10</f>
        <v>-1398202806.1298823</v>
      </c>
      <c r="E11" s="18">
        <f>-E6*Assumptions!B10</f>
        <v>-1426646654.6338863</v>
      </c>
      <c r="F11" s="18">
        <f>-F6*Assumptions!B10</f>
        <v>-1455669140.5960412</v>
      </c>
    </row>
    <row r="12" spans="1:6" x14ac:dyDescent="0.25">
      <c r="A12" t="s">
        <v>48</v>
      </c>
      <c r="B12" s="18">
        <f>-(B6-Assumptions!B29)*Assumptions!B11</f>
        <v>41442389.56939231</v>
      </c>
      <c r="C12" s="18">
        <f>-(C6-B6)*Assumptions!B11</f>
        <v>42285458.289743915</v>
      </c>
      <c r="D12" s="18">
        <f>-(D6-C6)*Assumptions!B11</f>
        <v>43145677.682984166</v>
      </c>
      <c r="E12" s="18">
        <f>-(E6-D6)*Assumptions!B11</f>
        <v>44023396.647813134</v>
      </c>
      <c r="F12" s="18">
        <f>-(F6-E6)*Assumptions!B11</f>
        <v>44918971.18062925</v>
      </c>
    </row>
    <row r="13" spans="1:6" x14ac:dyDescent="0.25">
      <c r="A13" s="19" t="s">
        <v>49</v>
      </c>
      <c r="B13" s="20">
        <f>B9+B10+B11+B12</f>
        <v>1381074859.7763228</v>
      </c>
      <c r="C13" s="20">
        <f>C9+C10+C11+C12</f>
        <v>1409170271.9096303</v>
      </c>
      <c r="D13" s="20">
        <f>D9+D10+D11+D12</f>
        <v>1437837233.2079618</v>
      </c>
      <c r="E13" s="20">
        <f>E9+E10+E11+E12</f>
        <v>1467087370.7813408</v>
      </c>
      <c r="F13" s="20">
        <f>F9+F10+F11+F12</f>
        <v>1496932548.2718267</v>
      </c>
    </row>
    <row r="14" spans="1:6" x14ac:dyDescent="0.25">
      <c r="A14" t="s">
        <v>50</v>
      </c>
      <c r="B14" s="21">
        <f>1/(1+Assumptions!$B$26)^(1-0.5*Assumptions!$B$32)</f>
        <v>0.9878493337873548</v>
      </c>
      <c r="C14" s="21">
        <f>1/(1+Assumptions!$B$26)^(2-0.5*Assumptions!$B$32)</f>
        <v>0.9639891235218627</v>
      </c>
      <c r="D14" s="21">
        <f>1/(1+Assumptions!$B$26)^(3-0.5*Assumptions!$B$32)</f>
        <v>0.9407052254675972</v>
      </c>
      <c r="E14" s="21">
        <f>1/(1+Assumptions!$B$26)^(4-0.5*Assumptions!$B$32)</f>
        <v>0.9179837195559115</v>
      </c>
      <c r="F14" s="21">
        <f>1/(1+Assumptions!$B$26)^(5-0.5*Assumptions!$B$32)</f>
        <v>0.8958110219392347</v>
      </c>
    </row>
    <row r="15" spans="1:6" x14ac:dyDescent="0.25">
      <c r="A15" s="19" t="s">
        <v>51</v>
      </c>
      <c r="B15" s="20">
        <f>B13*B14</f>
        <v>1364293880.140505</v>
      </c>
      <c r="C15" s="20">
        <f>C13*C14</f>
        <v>1358424815.3112295</v>
      </c>
      <c r="D15" s="20">
        <f>D13*D14</f>
        <v>1352580998.6506019</v>
      </c>
      <c r="E15" s="20">
        <f>E13*E14</f>
        <v>1346762321.5433578</v>
      </c>
      <c r="F15" s="20">
        <f>F13*F14</f>
        <v>1340968675.841488</v>
      </c>
    </row>
    <row r="17" spans="1:2" x14ac:dyDescent="0.25">
      <c r="A17" s="22" t="s">
        <v>52</v>
      </c>
      <c r="B17" s="23">
        <f>SUM(B15:F15)</f>
        <v>6763030691.487183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24" t="str">
        <f>IF(Assumptions!B12&gt;=Assumptions!B26,"Blocked: terminal growth is at or above the WACC, so there is no perpetuity value and the figures below are not a valuation.","")</f>
        <v>Blocked: terminal growth is at or above the WACC, so there is no perpetuity value and the figures below are not a valuation.</v>
      </c>
    </row>
    <row r="4" spans="1:2" x14ac:dyDescent="0.25">
      <c r="A4" t="s">
        <v>55</v>
      </c>
      <c r="B4" s="18">
        <f>Forecast!F13</f>
        <v>1496932548.2718267</v>
      </c>
    </row>
    <row r="5" spans="1:2" x14ac:dyDescent="0.25">
      <c r="A5" t="s">
        <v>56</v>
      </c>
      <c r="B5" s="18">
        <f>IF(Assumptions!$B$33=0,B4,B4-Forecast!F11-Forecast!F10-Forecast!F12)</f>
        <v>1481037916.2495117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0.6457829035230792</v>
      </c>
    </row>
    <row r="7" spans="1:2" x14ac:dyDescent="0.25">
      <c r="A7" t="s">
        <v>58</v>
      </c>
      <c r="B7" s="18">
        <f>-MAX(Forecast!F9,0)*B6</f>
        <v>-956428965.7833807</v>
      </c>
    </row>
    <row r="8" spans="1:2" x14ac:dyDescent="0.25">
      <c r="A8" t="s">
        <v>59</v>
      </c>
      <c r="B8" s="18">
        <f>IF(OR(Assumptions!$B$33=0,Assumptions!B12&lt;=0),B5,MAX(B5+B7,0))</f>
        <v>524608950.466131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6763030691.487183</v>
      </c>
    </row>
    <row r="12" spans="1:2" x14ac:dyDescent="0.25">
      <c r="A12" t="s">
        <v>63</v>
      </c>
      <c r="B12" s="18">
        <f>-Assumptions!B30</f>
        <v>-10626000000</v>
      </c>
    </row>
    <row r="13" spans="1:2" x14ac:dyDescent="0.25">
      <c r="A13" t="s">
        <v>64</v>
      </c>
      <c r="B13" s="18">
        <f>B11+B12</f>
        <v>-3862969308.5128174</v>
      </c>
    </row>
    <row r="14" spans="1:2" x14ac:dyDescent="0.25">
      <c r="A14" s="19" t="s">
        <v>65</v>
      </c>
      <c r="B14" s="25">
        <f>B13/Assumptions!B31</f>
        <v>-6.858511441373965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3514227036.7558594</v>
      </c>
    </row>
    <row r="18" spans="1:2" x14ac:dyDescent="0.25">
      <c r="A18" t="s">
        <v>60</v>
      </c>
      <c r="B18" s="18">
        <f>B17*Assumptions!B13</f>
        <v>28113816294.046875</v>
      </c>
    </row>
    <row r="19" spans="1:2" x14ac:dyDescent="0.25">
      <c r="A19" t="s">
        <v>61</v>
      </c>
      <c r="B19" s="18">
        <f>B18/(1+Assumptions!B26)^(5-0.5*Assumptions!B32)</f>
        <v>25184666504.982037</v>
      </c>
    </row>
    <row r="20" spans="1:2" x14ac:dyDescent="0.25">
      <c r="A20" t="s">
        <v>62</v>
      </c>
      <c r="B20" s="18">
        <f>Forecast!B17+B19</f>
        <v>31947697196.46922</v>
      </c>
    </row>
    <row r="21" spans="1:2" x14ac:dyDescent="0.25">
      <c r="A21" t="s">
        <v>63</v>
      </c>
      <c r="B21" s="18">
        <f>-Assumptions!B30</f>
        <v>-10626000000</v>
      </c>
    </row>
    <row r="22" spans="1:2" x14ac:dyDescent="0.25">
      <c r="A22" t="s">
        <v>64</v>
      </c>
      <c r="B22" s="18">
        <f>B20+B21</f>
        <v>21321697196.46922</v>
      </c>
    </row>
    <row r="23" spans="1:2" x14ac:dyDescent="0.25">
      <c r="A23" s="19" t="s">
        <v>65</v>
      </c>
      <c r="B23" s="26">
        <f>B22/Assumptions!B31</f>
        <v>37.85562154201882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7">
        <v>45.92</v>
      </c>
    </row>
    <row r="27" spans="1:3" x14ac:dyDescent="0.25">
      <c r="A27" t="s">
        <v>70</v>
      </c>
      <c r="B27" s="28">
        <v>1</v>
      </c>
      <c r="C27" s="8" t="s">
        <v>71</v>
      </c>
    </row>
    <row r="28" spans="1:2" x14ac:dyDescent="0.25">
      <c r="A28" t="s">
        <v>72</v>
      </c>
      <c r="B28" s="29">
        <f>B14*B27</f>
        <v>-6.858511441373965</v>
      </c>
    </row>
    <row r="29" spans="1:2" x14ac:dyDescent="0.25">
      <c r="A29" s="19" t="s">
        <v>73</v>
      </c>
      <c r="B29" s="12">
        <f>B28/B26-1</f>
        <v>-1.1493578275560532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30">
        <v>0.015</v>
      </c>
      <c r="C4" s="30">
        <v>0.02</v>
      </c>
      <c r="D4" s="30">
        <v>0.025</v>
      </c>
      <c r="E4" s="30">
        <v>0.03</v>
      </c>
      <c r="F4" s="30">
        <v>0.035</v>
      </c>
    </row>
    <row r="5" spans="1:6" x14ac:dyDescent="0.25">
      <c r="A5" s="31">
        <v>0.004752</v>
      </c>
      <c r="B5" s="32" t="s">
        <v>76</v>
      </c>
      <c r="C5" s="32" t="s">
        <v>76</v>
      </c>
      <c r="D5" s="32" t="s">
        <v>76</v>
      </c>
      <c r="E5" s="32" t="s">
        <v>76</v>
      </c>
      <c r="F5" s="32" t="s">
        <v>76</v>
      </c>
    </row>
    <row r="6" spans="1:6" x14ac:dyDescent="0.25">
      <c r="A6" s="31">
        <v>0.014752</v>
      </c>
      <c r="B6" s="32" t="s">
        <v>76</v>
      </c>
      <c r="C6" s="32" t="s">
        <v>76</v>
      </c>
      <c r="D6" s="32" t="s">
        <v>76</v>
      </c>
      <c r="E6" s="32" t="s">
        <v>76</v>
      </c>
      <c r="F6" s="32" t="s">
        <v>76</v>
      </c>
    </row>
    <row r="7" spans="1:6" x14ac:dyDescent="0.25">
      <c r="A7" s="31">
        <v>0.024752</v>
      </c>
      <c r="B7" s="32">
        <v>143.31390132851612</v>
      </c>
      <c r="C7" s="32">
        <v>237.5391316852694</v>
      </c>
      <c r="D7" s="33" t="s">
        <v>76</v>
      </c>
      <c r="E7" s="32" t="s">
        <v>76</v>
      </c>
      <c r="F7" s="32" t="s">
        <v>76</v>
      </c>
    </row>
    <row r="8" spans="1:6" x14ac:dyDescent="0.25">
      <c r="A8" s="31">
        <v>0.034752</v>
      </c>
      <c r="B8" s="32">
        <v>63.82870455974362</v>
      </c>
      <c r="C8" s="32">
        <v>68.21606515947957</v>
      </c>
      <c r="D8" s="32">
        <v>76.80372926358146</v>
      </c>
      <c r="E8" s="32">
        <v>102.85023066108363</v>
      </c>
      <c r="F8" s="32" t="s">
        <v>76</v>
      </c>
    </row>
    <row r="9" spans="1:6" x14ac:dyDescent="0.25">
      <c r="A9" s="31">
        <v>0.044752</v>
      </c>
      <c r="B9" s="32">
        <v>41.55560576088569</v>
      </c>
      <c r="C9" s="32">
        <v>41.79685885491476</v>
      </c>
      <c r="D9" s="32">
        <v>42.038111948943815</v>
      </c>
      <c r="E9" s="32">
        <v>42.27936504297286</v>
      </c>
      <c r="F9" s="32">
        <v>42.520618137001904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4" t="s">
        <v>84</v>
      </c>
    </row>
    <row r="5" spans="1:6" x14ac:dyDescent="0.25">
      <c r="A5" t="s">
        <v>43</v>
      </c>
      <c r="B5" s="18">
        <v>22873000000</v>
      </c>
      <c r="C5" s="18">
        <v>21954000000</v>
      </c>
      <c r="D5" s="18">
        <v>21067000000</v>
      </c>
      <c r="E5" s="18">
        <v>21532000000</v>
      </c>
      <c r="F5" s="8" t="s">
        <v>85</v>
      </c>
    </row>
    <row r="6" spans="1:6" x14ac:dyDescent="0.25">
      <c r="A6" t="s">
        <v>44</v>
      </c>
      <c r="B6" s="18">
        <v>2181400000</v>
      </c>
      <c r="C6" s="18">
        <v>2073000000</v>
      </c>
      <c r="D6" s="18">
        <v>1183000000</v>
      </c>
      <c r="E6" s="18">
        <v>1812000000</v>
      </c>
      <c r="F6" s="8" t="s">
        <v>86</v>
      </c>
    </row>
    <row r="7" spans="1:6" x14ac:dyDescent="0.25">
      <c r="A7" t="s">
        <v>87</v>
      </c>
      <c r="B7" s="18">
        <v>1120000000</v>
      </c>
      <c r="C7" s="18">
        <v>1239000000</v>
      </c>
      <c r="D7" s="18">
        <v>1400000000</v>
      </c>
      <c r="E7" s="18">
        <v>1157000000</v>
      </c>
      <c r="F7" s="8" t="s">
        <v>88</v>
      </c>
    </row>
    <row r="8" spans="1:6" x14ac:dyDescent="0.25">
      <c r="A8" t="s">
        <v>89</v>
      </c>
      <c r="B8" s="18">
        <v>1497000000</v>
      </c>
      <c r="C8" s="18">
        <v>1060000000</v>
      </c>
      <c r="D8" s="18">
        <v>1286000000</v>
      </c>
      <c r="E8" s="18">
        <v>1193000000</v>
      </c>
      <c r="F8" s="8" t="s">
        <v>90</v>
      </c>
    </row>
    <row r="9" spans="1:6" x14ac:dyDescent="0.25">
      <c r="A9" t="s">
        <v>91</v>
      </c>
      <c r="B9" s="18">
        <v>-267000000</v>
      </c>
      <c r="C9" s="18">
        <v>-79000000</v>
      </c>
      <c r="D9" s="18">
        <v>-399000000</v>
      </c>
      <c r="E9" s="18">
        <v>257000000</v>
      </c>
      <c r="F9" s="8" t="s">
        <v>92</v>
      </c>
    </row>
    <row r="10" spans="1:6" x14ac:dyDescent="0.25">
      <c r="A10" t="s">
        <v>93</v>
      </c>
      <c r="B10" s="18">
        <v>11933000000</v>
      </c>
      <c r="C10" s="18">
        <v>13577000000</v>
      </c>
      <c r="D10" s="18">
        <v>15830000000</v>
      </c>
      <c r="E10" s="18">
        <v>27763000000</v>
      </c>
      <c r="F10" s="8" t="s">
        <v>94</v>
      </c>
    </row>
    <row r="11" spans="1:6" x14ac:dyDescent="0.25">
      <c r="A11" t="s">
        <v>95</v>
      </c>
      <c r="B11" s="18">
        <v>1307000000</v>
      </c>
      <c r="C11" s="18">
        <v>2046000000</v>
      </c>
      <c r="D11" s="18">
        <v>2289000000</v>
      </c>
      <c r="E11" s="18">
        <v>2569000000</v>
      </c>
      <c r="F11" s="8" t="s">
        <v>96</v>
      </c>
    </row>
    <row r="12" spans="1:6" x14ac:dyDescent="0.25">
      <c r="A12" t="s">
        <v>32</v>
      </c>
      <c r="B12" s="35">
        <v>563237277</v>
      </c>
      <c r="C12" s="35">
        <v>563237277</v>
      </c>
      <c r="D12" s="35">
        <v>563237277</v>
      </c>
      <c r="E12" s="35">
        <v>561264305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6" t="s">
        <v>99</v>
      </c>
      <c r="B16" s="36"/>
      <c r="C16" s="36"/>
      <c r="D16" s="36"/>
      <c r="E16" s="36"/>
      <c r="F16" s="36"/>
    </row>
    <row r="17" ht="22" customHeight="1" spans="1:6" x14ac:dyDescent="0.25">
      <c r="A17" s="36" t="s">
        <v>100</v>
      </c>
      <c r="B17" s="36"/>
      <c r="C17" s="36"/>
      <c r="D17" s="36"/>
      <c r="E17" s="36"/>
      <c r="F17" s="36"/>
    </row>
    <row r="18" ht="22" customHeight="1" spans="1:6" x14ac:dyDescent="0.25">
      <c r="A18" s="36" t="s">
        <v>101</v>
      </c>
      <c r="B18" s="36"/>
      <c r="C18" s="36"/>
      <c r="D18" s="36"/>
      <c r="E18" s="36"/>
      <c r="F18" s="36"/>
    </row>
    <row r="19" ht="22" customHeight="1" spans="1:6" x14ac:dyDescent="0.25">
      <c r="A19" s="36" t="s">
        <v>102</v>
      </c>
      <c r="B19" s="36"/>
      <c r="C19" s="36"/>
      <c r="D19" s="36"/>
      <c r="E19" s="36"/>
      <c r="F19" s="36"/>
    </row>
    <row r="21" spans="1:1" x14ac:dyDescent="0.25">
      <c r="A21" s="37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