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<sst xmlns="http://schemas.openxmlformats.org/spreadsheetml/2006/main" count="115" uniqueCount="103">
  <si>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Fresnillo plc (FRES.L)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</si>
  <si>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</si>
  <si>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</si>
  <si>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</si>
  <si>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</si>
  <si>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</si>
  <si>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</si>
  <si>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</si>
  <si>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</si>
  <si>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</si>
  <si>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</si>
  <si>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</si>
  <si>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</si>
  <si>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</si>
  <si>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</si>
  <si>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</si>
  <si>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</si>
  <si>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</si>
  <si>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</si>
  <si>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</si>
  <si>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</si>
  <si>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</si>
  <si>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</si>
  <si>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</si>
  <si>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</si>
  <si>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</si>
  <si>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</si>
  <si>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</si>
  <si>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</si>
  <si>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</si>
  <si>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</si>
  <si>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</si>
  <si>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</si>
  <si>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</si>
  <si>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</si>
  <si>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</si>
  <si>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</si>
  <si>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</si>
  <si>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</si>
  <si>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</si>
  <si>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</si>
  <si>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</si>
  <si>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</si>
  <si>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</si>
  <si>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</si>
  <si>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</si>
  <si>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</si>
  <si>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</si>
  <si>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</si>
  <si>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</si>
  <si>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</si>
  <si>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</si>
  <si>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</si>
  <si>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</si>
  <si>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</si>
  <si>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</si>
  <si>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</si>
  <si>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</si>
  <si>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</si>
  <si>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</si>
  <si>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</si>
  <si>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</si>
  <si>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</si>
  <si>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</si>
  <si>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</si>
  <si>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</si>
  <si>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</si>
  <si>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</si>
  <si>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</si>
  <si>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</si>
  <si>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</si>
  <si>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</si>
  <si>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</si>
  <si>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</si>
  <si>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</si>
  <si>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</si>
  <si>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</si>
  <si>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</si>
  <si>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</si>
  <si>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</si>
  <si>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</si>
  <si>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</si>
  <si>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</si>
  <si>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</si>
  <si>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</si>
  <si>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</si>
  <si>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</si>
  <si>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</si>
  <si>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</si>
  <si>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</si>
  <si>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</si>
  <si>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</si>
  <si>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</si>
  <si>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</si>
  <si>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</si>
  <si>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</si>
  <si>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</si>
  <si>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</si>
  <si>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</si>
  <si>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Reports in USD, trades in GBp. Modelled in USD, converted at the end.</t>
  </si>
  <si>
    <t>Note: Risk-free rate is an assumption: GBP assumption - no free live source available for this market.</t>
  </si>
  <si>
    <t>No usable EV/EBITDA (EBITDA is not positive), so the exit multiple falls back to 8x.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</si>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</sst>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0.23304969790809382</v>
      </c>
    </row>
    <row r="7" spans="1:2" x14ac:dyDescent="0.25">
      <c r="A7" t="s">
        <v>5</v>
      </c>
      <c r="B7" s="6">
        <v>0.23655045774203654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0.1689665920695496</v>
      </c>
    </row>
    <row r="10" spans="1:2" x14ac:dyDescent="0.25">
      <c r="A10" t="s">
        <v>8</v>
      </c>
      <c r="B10" s="6">
        <v>0.15394597755155268</v>
      </c>
    </row>
    <row r="11" spans="1:2" x14ac:dyDescent="0.25">
      <c r="A11" t="s">
        <v>9</v>
      </c>
      <c r="B11" s="6">
        <v>0.12032256307484838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0.09538223834820211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0.81709</v>
      </c>
      <c r="C19" s="8" t="s">
        <v>19</v>
      </c>
    </row>
    <row r="20" spans="1:2" x14ac:dyDescent="0.25">
      <c r="A20" t="s">
        <v>20</v>
      </c>
      <c r="B20" s="10">
        <f>B17+B19*B18</f>
        <v>0.08993994999999999</v>
      </c>
    </row>
    <row r="21" spans="1:3" x14ac:dyDescent="0.25">
      <c r="A21" t="s">
        <v>21</v>
      </c>
      <c r="B21" s="6">
        <v>0.07400253926830584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850973000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0.05550190445122938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4561231000</v>
      </c>
      <c r="C29" s="8" t="s">
        <v>30</v>
      </c>
    </row>
    <row r="30" spans="1:2" x14ac:dyDescent="0.25">
      <c r="A30" t="s">
        <v>31</v>
      </c>
      <c r="B30" s="11">
        <v>-1905503000</v>
      </c>
    </row>
    <row r="31" spans="1:2" x14ac:dyDescent="0.25">
      <c r="A31" t="s">
        <v>32</v>
      </c>
      <c r="B31" s="13">
        <v>736893589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0.23304969790809382</v>
      </c>
      <c r="C5" s="10">
        <f>Assumptions!B6</f>
        <v>0.23304969790809382</v>
      </c>
      <c r="D5" s="10">
        <f>Assumptions!B6</f>
        <v>0.23304969790809382</v>
      </c>
      <c r="E5" s="10">
        <f>Assumptions!B6</f>
        <v>0.23304969790809382</v>
      </c>
      <c r="F5" s="10">
        <f>Assumptions!B6</f>
        <v>0.23304969790809382</v>
      </c>
    </row>
    <row r="6" spans="1:6" x14ac:dyDescent="0.25">
      <c r="A6" t="s">
        <v>43</v>
      </c>
      <c r="B6" s="18">
        <f>Assumptions!B29*(1+B5)</f>
        <v>5624224506.639032</v>
      </c>
      <c r="C6" s="18">
        <f>B6*(1+C5)</f>
        <v>6934948328.878557</v>
      </c>
      <c r="D6" s="18">
        <f>C6*(1+D5)</f>
        <v>8551135941.931945</v>
      </c>
      <c r="E6" s="18">
        <f>D6*(1+E5)</f>
        <v>10543975589.970228</v>
      </c>
      <c r="F6" s="18">
        <f>E6*(1+F5)</f>
        <v>13001245915.963106</v>
      </c>
    </row>
    <row r="7" spans="1:6" x14ac:dyDescent="0.25">
      <c r="A7" t="s">
        <v>5</v>
      </c>
      <c r="B7" s="10">
        <f>Assumptions!B7</f>
        <v>0.23655045774203654</v>
      </c>
      <c r="C7" s="10">
        <f>Assumptions!B7</f>
        <v>0.23655045774203654</v>
      </c>
      <c r="D7" s="10">
        <f>Assumptions!B7</f>
        <v>0.23655045774203654</v>
      </c>
      <c r="E7" s="10">
        <f>Assumptions!B7</f>
        <v>0.23655045774203654</v>
      </c>
      <c r="F7" s="10">
        <f>Assumptions!B7</f>
        <v>0.23655045774203654</v>
      </c>
    </row>
    <row r="8" spans="1:6" x14ac:dyDescent="0.25">
      <c r="A8" t="s">
        <v>44</v>
      </c>
      <c r="B8" s="18">
        <f>B6*B7</f>
        <v>1330412881.4894426</v>
      </c>
      <c r="C8" s="18">
        <f>C6*C7</f>
        <v>1640465201.613594</v>
      </c>
      <c r="D8" s="18">
        <f>D6*D7</f>
        <v>2022775121.2783823</v>
      </c>
      <c r="E8" s="18">
        <f>E6*E7</f>
        <v>2494182252.2283173</v>
      </c>
      <c r="F8" s="18">
        <f>F6*F7</f>
        <v>3075450672.637856</v>
      </c>
    </row>
    <row r="9" spans="1:6" x14ac:dyDescent="0.25">
      <c r="A9" t="s">
        <v>45</v>
      </c>
      <c r="B9" s="18">
        <f>B8*(1-Assumptions!B8)</f>
        <v>997809661.1170819</v>
      </c>
      <c r="C9" s="18">
        <f>C8*(1-Assumptions!B8)</f>
        <v>1230348901.2101955</v>
      </c>
      <c r="D9" s="18">
        <f>D8*(1-Assumptions!B8)</f>
        <v>1517081340.9587867</v>
      </c>
      <c r="E9" s="18">
        <f>E8*(1-Assumptions!B8)</f>
        <v>1870636689.171238</v>
      </c>
      <c r="F9" s="18">
        <f>F8*(1-Assumptions!B8)</f>
        <v>2306588004.478392</v>
      </c>
    </row>
    <row r="10" spans="1:6" x14ac:dyDescent="0.25">
      <c r="A10" t="s">
        <v>46</v>
      </c>
      <c r="B10" s="18">
        <f>B6*Assumptions!B9</f>
        <v>950306047.9208412</v>
      </c>
      <c r="C10" s="18">
        <f>C6*Assumptions!B9</f>
        <v>1171774585.3090277</v>
      </c>
      <c r="D10" s="18">
        <f>D6*Assumptions!B9</f>
        <v>1444856298.4316785</v>
      </c>
      <c r="E10" s="18">
        <f>E6*Assumptions!B9</f>
        <v>1781579622.301788</v>
      </c>
      <c r="F10" s="18">
        <f>F6*Assumptions!B9</f>
        <v>2196776215.078436</v>
      </c>
    </row>
    <row r="11" spans="1:6" x14ac:dyDescent="0.25">
      <c r="A11" t="s">
        <v>47</v>
      </c>
      <c r="B11" s="18">
        <f>-B6*Assumptions!B10</f>
        <v>-865826739.6439449</v>
      </c>
      <c r="C11" s="18">
        <f>-C6*Assumptions!B10</f>
        <v>-1067607399.7587161</v>
      </c>
      <c r="D11" s="18">
        <f>-D6*Assumptions!B10</f>
        <v>-1316412981.7569304</v>
      </c>
      <c r="E11" s="18">
        <f>-E6*Assumptions!B10</f>
        <v>-1623202629.4776762</v>
      </c>
      <c r="F11" s="18">
        <f>-F6*Assumptions!B10</f>
        <v>-2001489511.9210722</v>
      </c>
    </row>
    <row r="12" spans="1:6" x14ac:dyDescent="0.25">
      <c r="A12" t="s">
        <v>48</v>
      </c>
      <c r="B12" s="18">
        <f>-(B6-Assumptions!B29)*Assumptions!B11</f>
        <v>-127902103.25072923</v>
      </c>
      <c r="C12" s="18">
        <f>-(C6-B6)*Assumptions!B11</f>
        <v>-157709649.7751216</v>
      </c>
      <c r="D12" s="18">
        <f>-(D6-C6)*Assumptions!B11</f>
        <v>-194463836.0124049</v>
      </c>
      <c r="E12" s="18">
        <f>-(E6-D6)*Assumptions!B11</f>
        <v>-239783574.249145</v>
      </c>
      <c r="F12" s="18">
        <f>-(F6-E6)*Assumptions!B11</f>
        <v>-295665063.79123133</v>
      </c>
    </row>
    <row r="13" spans="1:6" x14ac:dyDescent="0.25">
      <c r="A13" s="19" t="s">
        <v>49</v>
      </c>
      <c r="B13" s="20">
        <f>B9+B10+B11+B12</f>
        <v>954386866.1432489</v>
      </c>
      <c r="C13" s="20">
        <f>C9+C10+C11+C12</f>
        <v>1176806436.9853854</v>
      </c>
      <c r="D13" s="20">
        <f>D9+D10+D11+D12</f>
        <v>1451060821.62113</v>
      </c>
      <c r="E13" s="20">
        <f>E9+E10+E11+E12</f>
        <v>1789230107.746205</v>
      </c>
      <c r="F13" s="20">
        <f>F9+F10+F11+F12</f>
        <v>2206209643.8445244</v>
      </c>
    </row>
    <row r="14" spans="1:6" x14ac:dyDescent="0.25">
      <c r="A14" t="s">
        <v>50</v>
      </c>
      <c r="B14" s="21">
        <f>1/(1+Assumptions!$B$26)^(1-0.5*Assumptions!$B$32)</f>
        <v>0.9733532635882436</v>
      </c>
      <c r="C14" s="21">
        <f>1/(1+Assumptions!$B$26)^(2-0.5*Assumptions!$B$32)</f>
        <v>0.9221710159720687</v>
      </c>
      <c r="D14" s="21">
        <f>1/(1+Assumptions!$B$26)^(3-0.5*Assumptions!$B$32)</f>
        <v>0.8736801061969837</v>
      </c>
      <c r="E14" s="21">
        <f>1/(1+Assumptions!$B$26)^(4-0.5*Assumptions!$B$32)</f>
        <v>0.8277390145034579</v>
      </c>
      <c r="F14" s="21">
        <f>1/(1+Assumptions!$B$26)^(5-0.5*Assumptions!$B$32)</f>
        <v>0.7842136627255174</v>
      </c>
    </row>
    <row r="15" spans="1:6" x14ac:dyDescent="0.25">
      <c r="A15" s="19" t="s">
        <v>51</v>
      </c>
      <c r="B15" s="20">
        <f>B13*B14</f>
        <v>928955570.8862876</v>
      </c>
      <c r="C15" s="20">
        <f>C13*C14</f>
        <v>1085216787.5972831</v>
      </c>
      <c r="D15" s="20">
        <f>D13*D14</f>
        <v>1267762972.7322311</v>
      </c>
      <c r="E15" s="20">
        <f>E13*E14</f>
        <v>1481015566.1057596</v>
      </c>
      <c r="F15" s="20">
        <f>F13*F14</f>
        <v>1730139745.5396738</v>
      </c>
    </row>
    <row r="17" spans="1:2" x14ac:dyDescent="0.25">
      <c r="A17" s="22" t="s">
        <v>52</v>
      </c>
      <c r="B17" s="23">
        <f>SUM(B15:F15)</f>
        <v>6493090642.861236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2206209643.8445244</v>
      </c>
    </row>
    <row r="5" spans="1:2" x14ac:dyDescent="0.25">
      <c r="A5" t="s">
        <v>56</v>
      </c>
      <c r="B5" s="18">
        <f>IF(Assumptions!$B$33=0,B4,B4-Forecast!F11-Forecast!F10-Forecast!F12)</f>
        <v>2306588004.478392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0.2621033059502659</v>
      </c>
    </row>
    <row r="7" spans="1:2" x14ac:dyDescent="0.25">
      <c r="A7" t="s">
        <v>58</v>
      </c>
      <c r="B7" s="18">
        <f>-MAX(Forecast!F9,0)*B6</f>
        <v>-604564341.4390132</v>
      </c>
    </row>
    <row r="8" spans="1:2" x14ac:dyDescent="0.25">
      <c r="A8" t="s">
        <v>59</v>
      </c>
      <c r="B8" s="18">
        <f>IF(OR(Assumptions!$B$33=0,Assumptions!B12&lt;=0),B5,MAX(B5+B7,0))</f>
        <v>1702023663.039379</v>
      </c>
    </row>
    <row r="9" spans="1:2" x14ac:dyDescent="0.25">
      <c r="A9" t="s">
        <v>60</v>
      </c>
      <c r="B9" s="18">
        <f>B8*(1+Assumptions!B12)/(Assumptions!B26-Assumptions!B12)</f>
        <v>57195584538.166374</v>
      </c>
    </row>
    <row r="10" spans="1:2" x14ac:dyDescent="0.25">
      <c r="A10" t="s">
        <v>61</v>
      </c>
      <c r="B10" s="18">
        <f>B9/(1+Assumptions!B26)^(5-0.5*Assumptions!B32)</f>
        <v>44853558842.40242</v>
      </c>
    </row>
    <row r="11" spans="1:2" x14ac:dyDescent="0.25">
      <c r="A11" t="s">
        <v>62</v>
      </c>
      <c r="B11" s="18">
        <f>Forecast!B17+B10</f>
        <v>51346649485.26366</v>
      </c>
    </row>
    <row r="12" spans="1:2" x14ac:dyDescent="0.25">
      <c r="A12" t="s">
        <v>63</v>
      </c>
      <c r="B12" s="18">
        <f>-Assumptions!B30</f>
        <v>1905503000</v>
      </c>
    </row>
    <row r="13" spans="1:2" x14ac:dyDescent="0.25">
      <c r="A13" t="s">
        <v>64</v>
      </c>
      <c r="B13" s="18">
        <f>B11+B12</f>
        <v>53252152485.26366</v>
      </c>
    </row>
    <row r="14" spans="1:2" x14ac:dyDescent="0.25">
      <c r="A14" s="19" t="s">
        <v>65</v>
      </c>
      <c r="B14" s="24">
        <f>B13/Assumptions!B31</f>
        <v>72.26572910958471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5272226887.716291</v>
      </c>
    </row>
    <row r="18" spans="1:2" x14ac:dyDescent="0.25">
      <c r="A18" t="s">
        <v>60</v>
      </c>
      <c r="B18" s="18">
        <f>B17*Assumptions!B13</f>
        <v>42177815101.73033</v>
      </c>
    </row>
    <row r="19" spans="1:2" x14ac:dyDescent="0.25">
      <c r="A19" t="s">
        <v>61</v>
      </c>
      <c r="B19" s="18">
        <f>B18/(1+Assumptions!B26)^(5-0.5*Assumptions!B32)</f>
        <v>33076418866.687584</v>
      </c>
    </row>
    <row r="20" spans="1:2" x14ac:dyDescent="0.25">
      <c r="A20" t="s">
        <v>62</v>
      </c>
      <c r="B20" s="18">
        <f>Forecast!B17+B19</f>
        <v>39569509509.54882</v>
      </c>
    </row>
    <row r="21" spans="1:2" x14ac:dyDescent="0.25">
      <c r="A21" t="s">
        <v>63</v>
      </c>
      <c r="B21" s="18">
        <f>-Assumptions!B30</f>
        <v>1905503000</v>
      </c>
    </row>
    <row r="22" spans="1:2" x14ac:dyDescent="0.25">
      <c r="A22" t="s">
        <v>64</v>
      </c>
      <c r="B22" s="18">
        <f>B20+B21</f>
        <v>41475012509.54882</v>
      </c>
    </row>
    <row r="23" spans="1:2" x14ac:dyDescent="0.25">
      <c r="A23" s="19" t="s">
        <v>65</v>
      </c>
      <c r="B23" s="25">
        <f>B22/Assumptions!B31</f>
        <v>56.283584398980054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3035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5395.576132508923</v>
      </c>
    </row>
    <row r="29" spans="1:2" x14ac:dyDescent="0.25">
      <c r="A29" s="19" t="s">
        <v>73</v>
      </c>
      <c r="B29" s="12">
        <f>B28/B26-1</f>
        <v>0.7777845576635662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0.035502</v>
      </c>
      <c r="B5" s="31">
        <v>123.5084507285462</v>
      </c>
      <c r="C5" s="31">
        <v>151.01013967219586</v>
      </c>
      <c r="D5" s="31">
        <v>204.5653837311966</v>
      </c>
      <c r="E5" s="31">
        <v>355.2035043759715</v>
      </c>
      <c r="F5" s="31">
        <v>3503.807268113746</v>
      </c>
    </row>
    <row r="6" spans="1:6" x14ac:dyDescent="0.25">
      <c r="A6" s="30">
        <v>0.045502</v>
      </c>
      <c r="B6" s="31">
        <v>83.48791124595975</v>
      </c>
      <c r="C6" s="31">
        <v>92.62665966106137</v>
      </c>
      <c r="D6" s="31">
        <v>106.15738895176399</v>
      </c>
      <c r="E6" s="31">
        <v>128.32985483565355</v>
      </c>
      <c r="F6" s="31">
        <v>171.48704425786462</v>
      </c>
    </row>
    <row r="7" spans="1:6" x14ac:dyDescent="0.25">
      <c r="A7" s="30">
        <v>0.055502</v>
      </c>
      <c r="B7" s="31">
        <v>63.23927958012609</v>
      </c>
      <c r="C7" s="31">
        <v>67.1349037157235</v>
      </c>
      <c r="D7" s="32">
        <v>72.26551140182231</v>
      </c>
      <c r="E7" s="31">
        <v>79.35750657762422</v>
      </c>
      <c r="F7" s="31">
        <v>89.8459108188558</v>
      </c>
    </row>
    <row r="8" spans="1:6" x14ac:dyDescent="0.25">
      <c r="A8" s="30">
        <v>0.065502</v>
      </c>
      <c r="B8" s="31">
        <v>51.01714128665478</v>
      </c>
      <c r="C8" s="31">
        <v>52.84920010279054</v>
      </c>
      <c r="D8" s="31">
        <v>55.10314609792228</v>
      </c>
      <c r="E8" s="31">
        <v>57.9572314179838</v>
      </c>
      <c r="F8" s="31">
        <v>61.70658719778416</v>
      </c>
    </row>
    <row r="9" spans="1:6" x14ac:dyDescent="0.25">
      <c r="A9" s="30">
        <v>0.075502</v>
      </c>
      <c r="B9" s="31">
        <v>42.84138921497951</v>
      </c>
      <c r="C9" s="31">
        <v>43.712603223671174</v>
      </c>
      <c r="D9" s="31">
        <v>44.73291224367202</v>
      </c>
      <c r="E9" s="31">
        <v>45.951466316071205</v>
      </c>
      <c r="F9" s="31">
        <v>47.44168590864747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4561231000</v>
      </c>
      <c r="C5" s="18">
        <v>3496385000</v>
      </c>
      <c r="D5" s="18">
        <v>2705086000</v>
      </c>
      <c r="E5" s="18">
        <v>2432990000</v>
      </c>
      <c r="F5" s="8" t="s">
        <v>84</v>
      </c>
    </row>
    <row r="6" spans="1:6" x14ac:dyDescent="0.25">
      <c r="A6" t="s">
        <v>44</v>
      </c>
      <c r="B6" s="18">
        <v>2291228000</v>
      </c>
      <c r="C6" s="18">
        <v>915526000</v>
      </c>
      <c r="D6" s="18">
        <v>165359000</v>
      </c>
      <c r="E6" s="18">
        <v>294141000</v>
      </c>
      <c r="F6" s="8" t="s">
        <v>85</v>
      </c>
    </row>
    <row r="7" spans="1:6" x14ac:dyDescent="0.25">
      <c r="A7" t="s">
        <v>86</v>
      </c>
      <c r="B7" s="18">
        <v>491636000</v>
      </c>
      <c r="C7" s="18">
        <v>620867000</v>
      </c>
      <c r="D7" s="18">
        <v>498469000</v>
      </c>
      <c r="E7" s="18">
        <v>501769000</v>
      </c>
      <c r="F7" s="8" t="s">
        <v>87</v>
      </c>
    </row>
    <row r="8" spans="1:6" x14ac:dyDescent="0.25">
      <c r="A8" t="s">
        <v>88</v>
      </c>
      <c r="B8" s="18">
        <v>400141000</v>
      </c>
      <c r="C8" s="18">
        <v>370542000</v>
      </c>
      <c r="D8" s="18">
        <v>483409000</v>
      </c>
      <c r="E8" s="18">
        <v>592129000</v>
      </c>
      <c r="F8" s="8" t="s">
        <v>89</v>
      </c>
    </row>
    <row r="9" spans="1:6" x14ac:dyDescent="0.25">
      <c r="A9" t="s">
        <v>90</v>
      </c>
      <c r="B9" s="18">
        <v>128125000</v>
      </c>
      <c r="C9" s="18">
        <v>162915000</v>
      </c>
      <c r="D9" s="18">
        <v>-20626000</v>
      </c>
      <c r="E9" s="18">
        <v>66145000</v>
      </c>
      <c r="F9" s="8" t="s">
        <v>91</v>
      </c>
    </row>
    <row r="10" spans="1:6" x14ac:dyDescent="0.25">
      <c r="A10" t="s">
        <v>92</v>
      </c>
      <c r="B10" s="18">
        <v>850973000</v>
      </c>
      <c r="C10" s="18">
        <v>853455000</v>
      </c>
      <c r="D10" s="18">
        <v>948952000</v>
      </c>
      <c r="E10" s="18">
        <v>1278648000</v>
      </c>
      <c r="F10" s="8" t="s">
        <v>93</v>
      </c>
    </row>
    <row r="11" spans="1:6" x14ac:dyDescent="0.25">
      <c r="A11" t="s">
        <v>94</v>
      </c>
      <c r="B11" s="18">
        <v>2756476000</v>
      </c>
      <c r="C11" s="18">
        <v>1297816000</v>
      </c>
      <c r="D11" s="18">
        <v>534580000</v>
      </c>
      <c r="E11" s="18">
        <v>969060000</v>
      </c>
      <c r="F11" s="8" t="s">
        <v>95</v>
      </c>
    </row>
    <row r="12" spans="1:6" x14ac:dyDescent="0.25">
      <c r="A12" t="s">
        <v>32</v>
      </c>
      <c r="B12" s="34">
        <v>736893589</v>
      </c>
      <c r="C12" s="34">
        <v>736893589</v>
      </c>
      <c r="D12" s="34">
        <v>736894000</v>
      </c>
      <c r="E12" s="34">
        <v>736894000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