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<sst xmlns="http://schemas.openxmlformats.org/spreadsheetml/2006/main" count="119" uniqueCount="106">
  <si>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Federal Realty Investment Trust (FRT)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</si>
  <si>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</si>
  <si>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</si>
  <si>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</si>
  <si>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</si>
  <si>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</si>
  <si>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</si>
  <si>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</si>
  <si>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</si>
  <si>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</si>
  <si>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</si>
  <si>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</si>
  <si>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</si>
  <si>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</si>
  <si>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</si>
  <si>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</si>
  <si>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</si>
  <si>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</si>
  <si>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</si>
  <si>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</si>
  <si>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</si>
  <si>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</si>
  <si>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</si>
  <si>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</si>
  <si>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+ 111bp, the spread for a BBB rating at 2.5x interest cover. Book interest / average debt was lower, at 3.8%.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</si>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</sst>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0.0665858754080415</v>
      </c>
    </row>
    <row r="7" spans="1:2" x14ac:dyDescent="0.25">
      <c r="A7" t="s">
        <v>4</v>
      </c>
      <c r="B7" s="5">
        <v>0.34872900941316753</v>
      </c>
    </row>
    <row r="8" spans="1:2" x14ac:dyDescent="0.25">
      <c r="A8" t="s">
        <v>5</v>
      </c>
      <c r="B8" s="5">
        <v>0</v>
      </c>
    </row>
    <row r="9" spans="1:2" x14ac:dyDescent="0.25">
      <c r="A9" t="s">
        <v>6</v>
      </c>
      <c r="B9" s="5">
        <v>0.28455021399101277</v>
      </c>
    </row>
    <row r="10" spans="1:3" x14ac:dyDescent="0.25">
      <c r="A10" t="s">
        <v>7</v>
      </c>
      <c r="B10" s="5">
        <v>0.2739152726752048</v>
      </c>
      <c r="C10" s="6" t="s">
        <v>8</v>
      </c>
    </row>
    <row r="11" spans="1:2" x14ac:dyDescent="0.25">
      <c r="A11" t="s">
        <v>9</v>
      </c>
      <c r="B11" s="5">
        <v>0.023690807850734106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17.59041607048969</v>
      </c>
    </row>
    <row r="14" spans="1:3" x14ac:dyDescent="0.25">
      <c r="A14" t="s">
        <v>12</v>
      </c>
      <c r="B14" s="5">
        <v>0.08053923688772911</v>
      </c>
      <c r="C14" s="6" t="s">
        <v>13</v>
      </c>
    </row>
    <row r="15" spans="1:3" x14ac:dyDescent="0.25">
      <c r="A15" t="s">
        <v>14</v>
      </c>
      <c r="B15" s="5">
        <v>0.28147355958517395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</v>
      </c>
      <c r="C19" s="6" t="s">
        <v>21</v>
      </c>
    </row>
    <row r="20" spans="1:2" x14ac:dyDescent="0.25">
      <c r="A20" t="s">
        <v>22</v>
      </c>
      <c r="B20" s="9">
        <f>B17+B19*B18</f>
        <v>0.09124</v>
      </c>
    </row>
    <row r="21" spans="1:3" x14ac:dyDescent="0.25">
      <c r="A21" t="s">
        <v>23</v>
      </c>
      <c r="B21" s="5">
        <v>0.06004</v>
      </c>
      <c r="C21" s="6" t="s">
        <v>24</v>
      </c>
    </row>
    <row r="22" spans="1:2" x14ac:dyDescent="0.25">
      <c r="A22" t="s">
        <v>25</v>
      </c>
      <c r="B22" s="10">
        <v>9632626688</v>
      </c>
    </row>
    <row r="23" spans="1:2" x14ac:dyDescent="0.25">
      <c r="A23" t="s">
        <v>26</v>
      </c>
      <c r="B23" s="10">
        <v>5028307000</v>
      </c>
    </row>
    <row r="24" spans="1:2" x14ac:dyDescent="0.25">
      <c r="A24" t="s">
        <v>27</v>
      </c>
      <c r="B24" s="9">
        <f>B22/(B22+B23)</f>
        <v>0.657026823324651</v>
      </c>
    </row>
    <row r="25" spans="1:2" x14ac:dyDescent="0.25">
      <c r="A25" t="s">
        <v>28</v>
      </c>
      <c r="B25" s="9">
        <f>1-B24</f>
        <v>0.342973176675349</v>
      </c>
    </row>
    <row r="26" spans="1:2" x14ac:dyDescent="0.25">
      <c r="A26" t="s">
        <v>29</v>
      </c>
      <c r="B26" s="11">
        <f>B24*B20+B25*B21*(1-B8)</f>
        <v>0.08053923688772911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1278975000</v>
      </c>
      <c r="C29" s="6" t="s">
        <v>32</v>
      </c>
    </row>
    <row r="30" spans="1:2" x14ac:dyDescent="0.25">
      <c r="A30" t="s">
        <v>33</v>
      </c>
      <c r="B30" s="10">
        <v>4920892000</v>
      </c>
    </row>
    <row r="31" spans="1:2" x14ac:dyDescent="0.25">
      <c r="A31" t="s">
        <v>34</v>
      </c>
      <c r="B31" s="12">
        <v>86405000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0.0665858754080415</v>
      </c>
      <c r="C5" s="5">
        <v>0.05233908857534053</v>
      </c>
      <c r="D5" s="5">
        <v>0.04892170250342297</v>
      </c>
      <c r="E5" s="5">
        <v>0.0455043164315054</v>
      </c>
      <c r="F5" s="5">
        <v>0.04208693035958783</v>
      </c>
      <c r="G5" s="5">
        <v>0.03866954428767026</v>
      </c>
      <c r="H5" s="5">
        <v>0.0352521582157527</v>
      </c>
      <c r="I5" s="5">
        <v>0.031834772143835136</v>
      </c>
      <c r="J5" s="5">
        <v>0.02841738607191757</v>
      </c>
      <c r="K5" s="5">
        <v>0.025</v>
      </c>
    </row>
    <row r="6" spans="1:11" x14ac:dyDescent="0.25">
      <c r="A6" t="s">
        <v>50</v>
      </c>
      <c r="B6" s="18">
        <f>Assumptions!B29*(1+B5)</f>
        <v>1364136670</v>
      </c>
      <c r="C6" s="18">
        <f>B6*(1+C5)</f>
        <v>1435534340</v>
      </c>
      <c r="D6" s="18">
        <f>C6*(1+D5)</f>
        <v>1505763123.9149277</v>
      </c>
      <c r="E6" s="18">
        <f>D6*(1+E5)</f>
        <v>1574281845.5764446</v>
      </c>
      <c r="F6" s="18">
        <f>E6*(1+F5)</f>
        <v>1640538535.977584</v>
      </c>
      <c r="G6" s="18">
        <f>F6*(1+G5)</f>
        <v>1703977413.550199</v>
      </c>
      <c r="H6" s="18">
        <f>G6*(1+H5)</f>
        <v>1764046294.9287398</v>
      </c>
      <c r="I6" s="18">
        <f>H6*(1+I5)</f>
        <v>1820204306.7789729</v>
      </c>
      <c r="J6" s="18">
        <f>I6*(1+J5)</f>
        <v>1871929755.294478</v>
      </c>
      <c r="K6" s="18">
        <f>J6*(1+K5)</f>
        <v>1918727999.1768398</v>
      </c>
    </row>
    <row r="7" spans="1:11" x14ac:dyDescent="0.25">
      <c r="A7" t="s">
        <v>4</v>
      </c>
      <c r="B7" s="9">
        <f>Assumptions!B7</f>
        <v>0.34872900941316753</v>
      </c>
      <c r="C7" s="9">
        <f>Assumptions!B7</f>
        <v>0.34872900941316753</v>
      </c>
      <c r="D7" s="9">
        <f>Assumptions!B7</f>
        <v>0.34872900941316753</v>
      </c>
      <c r="E7" s="9">
        <f>Assumptions!B7</f>
        <v>0.34872900941316753</v>
      </c>
      <c r="F7" s="9">
        <f>Assumptions!B7</f>
        <v>0.34872900941316753</v>
      </c>
      <c r="G7" s="9">
        <f>Assumptions!B7</f>
        <v>0.34872900941316753</v>
      </c>
      <c r="H7" s="9">
        <f>Assumptions!B7</f>
        <v>0.34872900941316753</v>
      </c>
      <c r="I7" s="9">
        <f>Assumptions!B7</f>
        <v>0.34872900941316753</v>
      </c>
      <c r="J7" s="9">
        <f>Assumptions!B7</f>
        <v>0.34872900941316753</v>
      </c>
      <c r="K7" s="9">
        <f>Assumptions!B7</f>
        <v>0.34872900941316753</v>
      </c>
    </row>
    <row r="8" spans="1:11" x14ac:dyDescent="0.25">
      <c r="A8" t="s">
        <v>51</v>
      </c>
      <c r="B8" s="18">
        <f>B6*B7</f>
        <v>475714029.633277</v>
      </c>
      <c r="C8" s="18">
        <f>C6*C7</f>
        <v>500612468.3667852</v>
      </c>
      <c r="D8" s="18">
        <f>D6*D7</f>
        <v>525103282.61372936</v>
      </c>
      <c r="E8" s="18">
        <f>E6*E7</f>
        <v>548997748.5450068</v>
      </c>
      <c r="F8" s="18">
        <f>F6*F7</f>
        <v>572103378.555591</v>
      </c>
      <c r="G8" s="18">
        <f>G6*G7</f>
        <v>594226355.4897722</v>
      </c>
      <c r="H8" s="18">
        <f>H6*H7</f>
        <v>615174116.9894679</v>
      </c>
      <c r="I8" s="18">
        <f>I6*I7</f>
        <v>634758044.8326125</v>
      </c>
      <c r="J8" s="18">
        <f>J6*J7</f>
        <v>652796209.2548764</v>
      </c>
      <c r="K8" s="18">
        <f>K6*K7</f>
        <v>669116114.4862483</v>
      </c>
    </row>
    <row r="9" spans="1:11" x14ac:dyDescent="0.25">
      <c r="A9" t="s">
        <v>52</v>
      </c>
      <c r="B9" s="18">
        <f>B8*(1-Assumptions!B8)</f>
        <v>475714029.633277</v>
      </c>
      <c r="C9" s="18">
        <f>C8*(1-Assumptions!B8)</f>
        <v>500612468.3667852</v>
      </c>
      <c r="D9" s="18">
        <f>D8*(1-Assumptions!B8)</f>
        <v>525103282.61372936</v>
      </c>
      <c r="E9" s="18">
        <f>E8*(1-Assumptions!B8)</f>
        <v>548997748.5450068</v>
      </c>
      <c r="F9" s="18">
        <f>F8*(1-Assumptions!B8)</f>
        <v>572103378.555591</v>
      </c>
      <c r="G9" s="18">
        <f>G8*(1-Assumptions!B8)</f>
        <v>594226355.4897722</v>
      </c>
      <c r="H9" s="18">
        <f>H8*(1-Assumptions!B8)</f>
        <v>615174116.9894679</v>
      </c>
      <c r="I9" s="18">
        <f>I8*(1-Assumptions!B8)</f>
        <v>634758044.8326125</v>
      </c>
      <c r="J9" s="18">
        <f>J8*(1-Assumptions!B8)</f>
        <v>652796209.2548764</v>
      </c>
      <c r="K9" s="18">
        <f>K8*(1-Assumptions!B8)</f>
        <v>669116114.4862483</v>
      </c>
    </row>
    <row r="10" spans="1:11" x14ac:dyDescent="0.25">
      <c r="A10" t="s">
        <v>53</v>
      </c>
      <c r="B10" s="18">
        <f>B6*Assumptions!B9</f>
        <v>388165381.36148757</v>
      </c>
      <c r="C10" s="18">
        <f>C6*Assumptions!B9</f>
        <v>408481603.6384473</v>
      </c>
      <c r="D10" s="18">
        <f>D6*Assumptions!B9</f>
        <v>428465219.12976855</v>
      </c>
      <c r="E10" s="18">
        <f>E6*Assumptions!B9</f>
        <v>447962236.04094386</v>
      </c>
      <c r="F10" s="18">
        <f>F6*Assumptions!B9</f>
        <v>466815591.4729243</v>
      </c>
      <c r="G10" s="18">
        <f>G6*Assumptions!B9</f>
        <v>484867137.6615616</v>
      </c>
      <c r="H10" s="18">
        <f>H6*Assumptions!B9</f>
        <v>501959750.7120261</v>
      </c>
      <c r="I10" s="18">
        <f>I6*Assumptions!B9</f>
        <v>517939525.00131977</v>
      </c>
      <c r="J10" s="18">
        <f>J6*Assumptions!B9</f>
        <v>532658012.44518787</v>
      </c>
      <c r="K10" s="18">
        <f>K6*Assumptions!B9</f>
        <v>545974462.7563175</v>
      </c>
    </row>
    <row r="11" spans="1:11" x14ac:dyDescent="0.25">
      <c r="A11" t="s">
        <v>54</v>
      </c>
      <c r="B11" s="18">
        <f>-B6*B19</f>
        <v>-373657867.9292959</v>
      </c>
      <c r="C11" s="18">
        <f>-C6*C19</f>
        <v>-411838681.266961</v>
      </c>
      <c r="D11" s="18">
        <f>-D6*D19</f>
        <v>-451521544.7511848</v>
      </c>
      <c r="E11" s="18">
        <f>-E6*E19</f>
        <v>-492491665.49942905</v>
      </c>
      <c r="F11" s="18">
        <f>-F6*F19</f>
        <v>-534502650.43181425</v>
      </c>
      <c r="G11" s="18">
        <f>-G6*G19</f>
        <v>-577278170.9644574</v>
      </c>
      <c r="H11" s="18">
        <f>-H6*H19</f>
        <v>-620514322.4807379</v>
      </c>
      <c r="I11" s="18">
        <f>-I6*I19</f>
        <v>-663882670.4710575</v>
      </c>
      <c r="J11" s="18">
        <f>-J6*J19</f>
        <v>-707033956.520571</v>
      </c>
      <c r="K11" s="18">
        <f>-K6*K19</f>
        <v>-749602418.2272741</v>
      </c>
    </row>
    <row r="12" spans="1:11" x14ac:dyDescent="0.25">
      <c r="A12" t="s">
        <v>55</v>
      </c>
      <c r="B12" s="18">
        <f>-(B6-Assumptions!B29)*Assumptions!B11</f>
        <v>-2017548.7602176273</v>
      </c>
      <c r="C12" s="18">
        <f>-(C6-B6)*Assumptions!B11</f>
        <v>-1691468.480960123</v>
      </c>
      <c r="D12" s="18">
        <f>-(D6-C6)*Assumptions!B11</f>
        <v>-1663776.6253192788</v>
      </c>
      <c r="E12" s="18">
        <f>-(E6-D6)*Assumptions!B11</f>
        <v>-1623263.8690609296</v>
      </c>
      <c r="F12" s="18">
        <f>-(F6-E6)*Assumptions!B11</f>
        <v>-1569674.521118969</v>
      </c>
      <c r="G12" s="18">
        <f>-(G6-F6)*Assumptions!B11</f>
        <v>-1502918.2588390708</v>
      </c>
      <c r="H12" s="18">
        <f>-(H6-G6)*Assumptions!B11</f>
        <v>-1423080.326547549</v>
      </c>
      <c r="I12" s="18">
        <f>-(I6-H6)*Assumptions!B11</f>
        <v>-1330428.6680231208</v>
      </c>
      <c r="J12" s="18">
        <f>-(J6-I6)*Assumptions!B11</f>
        <v>-1225417.6617738705</v>
      </c>
      <c r="K12" s="18">
        <f>-(K6-J6)*Assumptions!B11</f>
        <v>-1108688.2035688283</v>
      </c>
    </row>
    <row r="13" spans="1:11" x14ac:dyDescent="0.25">
      <c r="A13" s="19" t="s">
        <v>56</v>
      </c>
      <c r="B13" s="20">
        <f>B9+B10+B11+B12</f>
        <v>488203994.30525106</v>
      </c>
      <c r="C13" s="20">
        <f>C9+C10+C11+C12</f>
        <v>495563922.25731146</v>
      </c>
      <c r="D13" s="20">
        <f>D9+D10+D11+D12</f>
        <v>500383180.3669937</v>
      </c>
      <c r="E13" s="20">
        <f>E9+E10+E11+E12</f>
        <v>502845055.21746063</v>
      </c>
      <c r="F13" s="20">
        <f>F9+F10+F11+F12</f>
        <v>502846645.0755821</v>
      </c>
      <c r="G13" s="20">
        <f>G9+G10+G11+G12</f>
        <v>500312403.92803735</v>
      </c>
      <c r="H13" s="20">
        <f>H9+H10+H11+H12</f>
        <v>495196464.8942085</v>
      </c>
      <c r="I13" s="20">
        <f>I9+I10+I11+I12</f>
        <v>487484470.69485176</v>
      </c>
      <c r="J13" s="20">
        <f>J9+J10+J11+J12</f>
        <v>477194847.5177193</v>
      </c>
      <c r="K13" s="20">
        <f>K9+K10+K11+K12</f>
        <v>464379470.81172276</v>
      </c>
    </row>
    <row r="14" spans="1:11" x14ac:dyDescent="0.25">
      <c r="A14" t="s">
        <v>57</v>
      </c>
      <c r="B14" s="21">
        <f>1/(1+Assumptions!$B$26)^(1-0.5*Assumptions!$B$32)</f>
        <v>0.9620103159120705</v>
      </c>
      <c r="C14" s="21">
        <f>1/(1+Assumptions!$B$26)^(2-0.5*Assumptions!$B$32)</f>
        <v>0.8903057687039142</v>
      </c>
      <c r="D14" s="21">
        <f>1/(1+Assumptions!$B$26)^(3-0.5*Assumptions!$B$32)</f>
        <v>0.8239458025312036</v>
      </c>
      <c r="E14" s="21">
        <f>1/(1+Assumptions!$B$26)^(4-0.5*Assumptions!$B$32)</f>
        <v>0.7625320528890833</v>
      </c>
      <c r="F14" s="21">
        <f>1/(1+Assumptions!$B$26)^(5-0.5*Assumptions!$B$32)</f>
        <v>0.7056958478300149</v>
      </c>
      <c r="G14" s="21">
        <f>1/(1+Assumptions!$B$26)^(6-0.5*Assumptions!$B$32)</f>
        <v>0.6530959947948087</v>
      </c>
      <c r="H14" s="21">
        <f>1/(1+Assumptions!$B$26)^(7-0.5*Assumptions!$B$32)</f>
        <v>0.6044167324047549</v>
      </c>
      <c r="I14" s="21">
        <f>1/(1+Assumptions!$B$26)^(8-0.5*Assumptions!$B$32)</f>
        <v>0.5593658349192879</v>
      </c>
      <c r="J14" s="21">
        <f>1/(1+Assumptions!$B$26)^(9-0.5*Assumptions!$B$32)</f>
        <v>0.5176728579800824</v>
      </c>
      <c r="K14" s="21">
        <f>1/(1+Assumptions!$B$26)^(10-0.5*Assumptions!$B$32)</f>
        <v>0.4790875151106335</v>
      </c>
    </row>
    <row r="15" spans="1:11" x14ac:dyDescent="0.25">
      <c r="A15" s="19" t="s">
        <v>58</v>
      </c>
      <c r="B15" s="20">
        <f>B13*B14</f>
        <v>469657278.79112923</v>
      </c>
      <c r="C15" s="20">
        <f>C13*C14</f>
        <v>441203418.7472225</v>
      </c>
      <c r="D15" s="20">
        <f>D13*D14</f>
        <v>412288621.1205987</v>
      </c>
      <c r="E15" s="20">
        <f>E13*E14</f>
        <v>383435472.2400947</v>
      </c>
      <c r="F15" s="20">
        <f>F13*F14</f>
        <v>354856789.5250915</v>
      </c>
      <c r="G15" s="20">
        <f>G13*G14</f>
        <v>326752027.1515637</v>
      </c>
      <c r="H15" s="20">
        <f>H13*H14</f>
        <v>299305029.20974344</v>
      </c>
      <c r="I15" s="20">
        <f>I13*I14</f>
        <v>272682157.9604129</v>
      </c>
      <c r="J15" s="20">
        <f>J13*J14</f>
        <v>247030820.5278674</v>
      </c>
      <c r="K15" s="20">
        <f>K13*K14</f>
        <v>222478406.73957923</v>
      </c>
    </row>
    <row r="17" spans="1:2" x14ac:dyDescent="0.25">
      <c r="A17" s="22" t="s">
        <v>59</v>
      </c>
      <c r="B17" s="23">
        <f>SUM(B15:K15)</f>
        <v>3429690022.0133033</v>
      </c>
    </row>
    <row r="19" spans="1:11" x14ac:dyDescent="0.25">
      <c r="A19" t="s">
        <v>7</v>
      </c>
      <c r="B19" s="9">
        <f>Assumptions!$B$10+($B$20-Assumptions!$B$10)*0/9</f>
        <v>0.2739152726752048</v>
      </c>
      <c r="C19" s="9">
        <f>Assumptions!$B$10+($B$20-Assumptions!$B$10)*1/9</f>
        <v>0.2868887701195368</v>
      </c>
      <c r="D19" s="9">
        <f>Assumptions!$B$10+($B$20-Assumptions!$B$10)*2/9</f>
        <v>0.2998622675638687</v>
      </c>
      <c r="E19" s="9">
        <f>Assumptions!$B$10+($B$20-Assumptions!$B$10)*3/9</f>
        <v>0.31283576500820065</v>
      </c>
      <c r="F19" s="9">
        <f>Assumptions!$B$10+($B$20-Assumptions!$B$10)*4/9</f>
        <v>0.3258092624525326</v>
      </c>
      <c r="G19" s="9">
        <f>Assumptions!$B$10+($B$20-Assumptions!$B$10)*5/9</f>
        <v>0.33878275989686457</v>
      </c>
      <c r="H19" s="9">
        <f>Assumptions!$B$10+($B$20-Assumptions!$B$10)*6/9</f>
        <v>0.3517562573411965</v>
      </c>
      <c r="I19" s="9">
        <f>Assumptions!$B$10+($B$20-Assumptions!$B$10)*7/9</f>
        <v>0.36472975478552844</v>
      </c>
      <c r="J19" s="9">
        <f>Assumptions!$B$10+($B$20-Assumptions!$B$10)*8/9</f>
        <v>0.37770325222986034</v>
      </c>
      <c r="K19" s="9">
        <f>Assumptions!$B$10+($B$20-Assumptions!$B$10)*9/9</f>
        <v>0.3906767496741923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0.3906767496741923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464379470.81172276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675019377.438522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0.3104077089139763</v>
      </c>
    </row>
    <row r="7" spans="1:2" x14ac:dyDescent="0.25">
      <c r="A7" t="s">
        <v>66</v>
      </c>
      <c r="B7" s="18">
        <f>-MAX(B5,0)*B6</f>
        <v>-209531218.42323023</v>
      </c>
    </row>
    <row r="8" spans="1:2" x14ac:dyDescent="0.25">
      <c r="A8" t="s">
        <v>67</v>
      </c>
      <c r="B8" s="18">
        <f>IF(OR(Assumptions!$B$33=0,Assumptions!B12&lt;=0),B5,MAX(B5+B7,0))</f>
        <v>465488159.01529175</v>
      </c>
    </row>
    <row r="9" spans="1:2" x14ac:dyDescent="0.25">
      <c r="A9" t="s">
        <v>68</v>
      </c>
      <c r="B9" s="18">
        <f>B8*(1+Assumptions!B12)/(Assumptions!B26-Assumptions!B12)</f>
        <v>8590779955.352438</v>
      </c>
    </row>
    <row r="10" spans="1:2" x14ac:dyDescent="0.25">
      <c r="A10" t="s">
        <v>69</v>
      </c>
      <c r="B10" s="18">
        <f>B9/(1+Assumptions!B26)^(10-0.5*Assumptions!B32)</f>
        <v>4115735421.6720386</v>
      </c>
    </row>
    <row r="11" spans="1:2" x14ac:dyDescent="0.25">
      <c r="A11" t="s">
        <v>70</v>
      </c>
      <c r="B11" s="18">
        <f>Forecast!B17+B10</f>
        <v>7545425443.685342</v>
      </c>
    </row>
    <row r="12" spans="1:2" x14ac:dyDescent="0.25">
      <c r="A12" t="s">
        <v>71</v>
      </c>
      <c r="B12" s="18">
        <f>-Assumptions!B30</f>
        <v>-4920892000</v>
      </c>
    </row>
    <row r="13" spans="1:2" x14ac:dyDescent="0.25">
      <c r="A13" t="s">
        <v>72</v>
      </c>
      <c r="B13" s="18">
        <f>B11+B12</f>
        <v>2624533443.685342</v>
      </c>
    </row>
    <row r="14" spans="1:2" x14ac:dyDescent="0.25">
      <c r="A14" s="19" t="s">
        <v>73</v>
      </c>
      <c r="B14" s="24">
        <f>B13/Assumptions!B31</f>
        <v>30.37478668694337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1215090577.2425656</v>
      </c>
    </row>
    <row r="18" spans="1:2" x14ac:dyDescent="0.25">
      <c r="A18" t="s">
        <v>68</v>
      </c>
      <c r="B18" s="18">
        <f>B17*Assumptions!B13</f>
        <v>21373948817.02822</v>
      </c>
    </row>
    <row r="19" spans="1:2" x14ac:dyDescent="0.25">
      <c r="A19" t="s">
        <v>69</v>
      </c>
      <c r="B19" s="18">
        <f>B18/(1+Assumptions!B26)^(10-0.5*Assumptions!B32)</f>
        <v>10239992026.851915</v>
      </c>
    </row>
    <row r="20" spans="1:2" x14ac:dyDescent="0.25">
      <c r="A20" t="s">
        <v>70</v>
      </c>
      <c r="B20" s="18">
        <f>Forecast!B17+B19</f>
        <v>13669682048.86522</v>
      </c>
    </row>
    <row r="21" spans="1:2" x14ac:dyDescent="0.25">
      <c r="A21" t="s">
        <v>71</v>
      </c>
      <c r="B21" s="18">
        <f>-Assumptions!B30</f>
        <v>-4920892000</v>
      </c>
    </row>
    <row r="22" spans="1:2" x14ac:dyDescent="0.25">
      <c r="A22" t="s">
        <v>72</v>
      </c>
      <c r="B22" s="18">
        <f>B20+B21</f>
        <v>8748790048.86522</v>
      </c>
    </row>
    <row r="23" spans="1:2" x14ac:dyDescent="0.25">
      <c r="A23" s="19" t="s">
        <v>73</v>
      </c>
      <c r="B23" s="25">
        <f>B22/Assumptions!B31</f>
        <v>101.25328451901186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110.19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30.37478668694337</v>
      </c>
    </row>
    <row r="29" spans="1:2" x14ac:dyDescent="0.25">
      <c r="A29" s="19" t="s">
        <v>81</v>
      </c>
      <c r="B29" s="11">
        <f>B28/B26-1</f>
        <v>-0.7243417126150887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0.060539</v>
      </c>
      <c r="B5" s="31">
        <v>62.59967684313437</v>
      </c>
      <c r="C5" s="31">
        <v>60.975389662684435</v>
      </c>
      <c r="D5" s="31">
        <v>59.35110248223452</v>
      </c>
      <c r="E5" s="31">
        <v>57.72681530178461</v>
      </c>
      <c r="F5" s="31">
        <v>56.10252812133473</v>
      </c>
    </row>
    <row r="6" spans="1:6" x14ac:dyDescent="0.25">
      <c r="A6" s="30">
        <v>0.070539</v>
      </c>
      <c r="B6" s="31">
        <v>45.43316076418284</v>
      </c>
      <c r="C6" s="31">
        <v>44.116195091838804</v>
      </c>
      <c r="D6" s="31">
        <v>42.79922941949477</v>
      </c>
      <c r="E6" s="31">
        <v>41.48226374715076</v>
      </c>
      <c r="F6" s="31">
        <v>40.16529807480673</v>
      </c>
    </row>
    <row r="7" spans="1:6" x14ac:dyDescent="0.25">
      <c r="A7" s="30">
        <v>0.080539</v>
      </c>
      <c r="B7" s="31">
        <v>32.556335309497896</v>
      </c>
      <c r="C7" s="31">
        <v>31.465689784820754</v>
      </c>
      <c r="D7" s="32">
        <v>30.375044260143607</v>
      </c>
      <c r="E7" s="31">
        <v>29.284398735466464</v>
      </c>
      <c r="F7" s="31">
        <v>28.1937532107893</v>
      </c>
    </row>
    <row r="8" spans="1:6" x14ac:dyDescent="0.25">
      <c r="A8" s="30">
        <v>0.090539</v>
      </c>
      <c r="B8" s="31">
        <v>22.54609202290441</v>
      </c>
      <c r="C8" s="31">
        <v>21.627942032613632</v>
      </c>
      <c r="D8" s="31">
        <v>20.709792042322857</v>
      </c>
      <c r="E8" s="31">
        <v>19.79164205203209</v>
      </c>
      <c r="F8" s="31">
        <v>18.8734920617413</v>
      </c>
    </row>
    <row r="9" spans="1:6" x14ac:dyDescent="0.25">
      <c r="A9" s="30">
        <v>0.100539</v>
      </c>
      <c r="B9" s="31">
        <v>14.545642308578174</v>
      </c>
      <c r="C9" s="31">
        <v>13.7624999466945</v>
      </c>
      <c r="D9" s="31">
        <v>12.979357584810828</v>
      </c>
      <c r="E9" s="31">
        <v>12.196215222927178</v>
      </c>
      <c r="F9" s="31">
        <v>11.413072861043505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1278975000</v>
      </c>
      <c r="C5" s="18">
        <v>1202452000</v>
      </c>
      <c r="D5" s="18">
        <v>1132154000</v>
      </c>
      <c r="E5" s="18">
        <v>1074378000</v>
      </c>
      <c r="F5" s="6" t="s">
        <v>91</v>
      </c>
    </row>
    <row r="6" spans="1:6" x14ac:dyDescent="0.25">
      <c r="A6" t="s">
        <v>51</v>
      </c>
      <c r="B6" s="18">
        <v>459513000</v>
      </c>
      <c r="C6" s="18">
        <v>418316000</v>
      </c>
      <c r="D6" s="18">
        <v>396589000</v>
      </c>
      <c r="E6" s="18">
        <v>362551000</v>
      </c>
      <c r="F6" s="6" t="s">
        <v>92</v>
      </c>
    </row>
    <row r="7" spans="1:6" x14ac:dyDescent="0.25">
      <c r="A7" t="s">
        <v>93</v>
      </c>
      <c r="B7" s="18">
        <v>367842000</v>
      </c>
      <c r="C7" s="18">
        <v>342598000</v>
      </c>
      <c r="D7" s="18">
        <v>321763000</v>
      </c>
      <c r="E7" s="18">
        <v>302409000</v>
      </c>
      <c r="F7" s="6" t="s">
        <v>94</v>
      </c>
    </row>
    <row r="8" spans="1:6" x14ac:dyDescent="0.25">
      <c r="A8" t="s">
        <v>95</v>
      </c>
      <c r="B8" s="18">
        <v>291338000</v>
      </c>
      <c r="C8" s="18">
        <v>246760000</v>
      </c>
      <c r="D8" s="18">
        <v>311120000</v>
      </c>
      <c r="E8" s="18">
        <v>416701000</v>
      </c>
      <c r="F8" s="6" t="s">
        <v>96</v>
      </c>
    </row>
    <row r="9" spans="1:6" x14ac:dyDescent="0.25">
      <c r="A9" t="s">
        <v>97</v>
      </c>
      <c r="B9" s="18">
        <v>-6152000</v>
      </c>
      <c r="C9" s="18">
        <v>2535000</v>
      </c>
      <c r="D9" s="18">
        <v>-2827000</v>
      </c>
      <c r="E9" s="18">
        <v>2840000</v>
      </c>
      <c r="F9" s="6" t="s">
        <v>98</v>
      </c>
    </row>
    <row r="10" spans="1:6" x14ac:dyDescent="0.25">
      <c r="A10" t="s">
        <v>99</v>
      </c>
      <c r="B10" s="18">
        <v>5028307000</v>
      </c>
      <c r="C10" s="18">
        <v>4561252000</v>
      </c>
      <c r="D10" s="18">
        <v>4687717000</v>
      </c>
      <c r="E10" s="18">
        <v>4474796000</v>
      </c>
      <c r="F10" s="6" t="s">
        <v>100</v>
      </c>
    </row>
    <row r="11" spans="1:6" x14ac:dyDescent="0.25">
      <c r="A11" t="s">
        <v>101</v>
      </c>
      <c r="B11" s="18">
        <v>107415000</v>
      </c>
      <c r="C11" s="18">
        <v>123409000</v>
      </c>
      <c r="D11" s="18">
        <v>250825000</v>
      </c>
      <c r="E11" s="18">
        <v>85558000</v>
      </c>
      <c r="F11" s="6" t="s">
        <v>102</v>
      </c>
    </row>
    <row r="12" spans="1:6" x14ac:dyDescent="0.25">
      <c r="A12" t="s">
        <v>34</v>
      </c>
      <c r="B12" s="34">
        <v>86405000</v>
      </c>
      <c r="C12" s="34">
        <v>83566000</v>
      </c>
      <c r="D12" s="34">
        <v>81313000</v>
      </c>
      <c r="E12" s="34">
        <v>80508000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