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<sst xmlns="http://schemas.openxmlformats.org/spreadsheetml/2006/main" count="114" uniqueCount="102">
  <si>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Freightways Group Limited (FRW.NZ)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</si>
  <si>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</si>
  <si>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</si>
  <si>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</si>
  <si>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</si>
  <si>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</si>
  <si>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</si>
  <si>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</si>
  <si>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</si>
  <si>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</si>
  <si>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</si>
  <si>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</si>
  <si>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</si>
  <si>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</si>
  <si>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</si>
  <si>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</si>
  <si>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</si>
  <si>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</si>
  <si>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</si>
  <si>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</si>
  <si>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</si>
  <si>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</si>
  <si>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</si>
  <si>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</si>
  <si>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</si>
  <si>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</si>
  <si>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</si>
  <si>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</si>
  <si>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</si>
  <si>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</si>
  <si>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2026-06-30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</si>
  <si>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</si>
  <si>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</si>
  <si>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</si>
  <si>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</si>
  <si>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</si>
  <si>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</si>
  <si>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</si>
  <si>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</si>
  <si>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</si>
  <si>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</si>
  <si>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</si>
  <si>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</si>
  <si>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</si>
  <si>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</si>
  <si>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</si>
  <si>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</si>
  <si>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</si>
  <si>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</si>
  <si>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</si>
  <si>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</si>
  <si>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</si>
  <si>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</si>
  <si>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</si>
  <si>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</si>
  <si>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</si>
  <si>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</si>
  <si>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</si>
  <si>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</si>
  <si>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</si>
  <si>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</si>
  <si>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</si>
  <si>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</si>
  <si>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</si>
  <si>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</si>
  <si>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</si>
  <si>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</si>
  <si>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</si>
  <si>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</si>
  <si>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</si>
  <si>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</si>
  <si>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</si>
  <si>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</si>
  <si>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</si>
  <si>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</si>
  <si>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</si>
  <si>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</si>
  <si>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</si>
  <si>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</si>
  <si>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</si>
  <si>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</si>
  <si>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</si>
  <si>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</si>
  <si>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</si>
  <si>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</si>
  <si>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</si>
  <si>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</si>
  <si>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</si>
  <si>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</si>
  <si>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</si>
  <si>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</si>
  <si>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</si>
  <si>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</si>
  <si>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</si>
  <si>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</si>
  <si>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</si>
  <si>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</si>
  <si>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</si>
  <si>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</si>
  <si>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Reported capital expenditure averages 2.63% of revenue against depreciation and amortisation of 7.60%. A business cannot depreciate more than it invests indefinitely. Capex has been set to 7.60%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</si>
  <si>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Note: Risk-free rate is an assumption: NZD assumption - no free live source available for this market.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</si>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</sst>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0.09277311799133892</v>
      </c>
    </row>
    <row r="7" spans="1:2" x14ac:dyDescent="0.25">
      <c r="A7" t="s">
        <v>5</v>
      </c>
      <c r="B7" s="6">
        <v>0.11451382742186546</v>
      </c>
    </row>
    <row r="8" spans="1:2" x14ac:dyDescent="0.25">
      <c r="A8" t="s">
        <v>6</v>
      </c>
      <c r="B8" s="6">
        <v>0.28</v>
      </c>
    </row>
    <row r="9" spans="1:2" x14ac:dyDescent="0.25">
      <c r="A9" t="s">
        <v>7</v>
      </c>
      <c r="B9" s="6">
        <v>0.07602690164028168</v>
      </c>
    </row>
    <row r="10" spans="1:2" x14ac:dyDescent="0.25">
      <c r="A10" t="s">
        <v>8</v>
      </c>
      <c r="B10" s="6">
        <v>0.07602690164028168</v>
      </c>
    </row>
    <row r="11" spans="1:2" x14ac:dyDescent="0.25">
      <c r="A11" t="s">
        <v>9</v>
      </c>
      <c r="B11" s="6">
        <v>0.0415254529370541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10.66960995169569</v>
      </c>
    </row>
    <row r="14" spans="1:3" x14ac:dyDescent="0.25">
      <c r="A14" t="s">
        <v>12</v>
      </c>
      <c r="B14" s="6">
        <v>0.13279243649839056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0.7614799999999999</v>
      </c>
      <c r="C19" s="8" t="s">
        <v>19</v>
      </c>
    </row>
    <row r="20" spans="1:2" x14ac:dyDescent="0.25">
      <c r="A20" t="s">
        <v>20</v>
      </c>
      <c r="B20" s="10">
        <f>B17+B19*B18</f>
        <v>0.0944962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2299269376</v>
      </c>
    </row>
    <row r="23" spans="1:2" x14ac:dyDescent="0.25">
      <c r="A23" t="s">
        <v>24</v>
      </c>
      <c r="B23" s="11">
        <v>697887000</v>
      </c>
    </row>
    <row r="24" spans="1:2" x14ac:dyDescent="0.25">
      <c r="A24" t="s">
        <v>25</v>
      </c>
      <c r="B24" s="10">
        <f>B22/(B22+B23)</f>
        <v>0.767150287656529</v>
      </c>
    </row>
    <row r="25" spans="1:2" x14ac:dyDescent="0.25">
      <c r="A25" t="s">
        <v>26</v>
      </c>
      <c r="B25" s="10">
        <f>1-B24</f>
        <v>0.23284971234347096</v>
      </c>
    </row>
    <row r="26" spans="1:2" x14ac:dyDescent="0.25">
      <c r="A26" t="s">
        <v>27</v>
      </c>
      <c r="B26" s="12">
        <f>B24*B20+B25*B21*(1-B8)</f>
        <v>0.08003711769237737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1463645000</v>
      </c>
      <c r="C29" s="8" t="s">
        <v>30</v>
      </c>
    </row>
    <row r="30" spans="1:2" x14ac:dyDescent="0.25">
      <c r="A30" t="s">
        <v>31</v>
      </c>
      <c r="B30" s="11">
        <v>664983000</v>
      </c>
    </row>
    <row r="31" spans="1:2" x14ac:dyDescent="0.25">
      <c r="A31" t="s">
        <v>32</v>
      </c>
      <c r="B31" s="13">
        <v>179561303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0.09277311799133892</v>
      </c>
      <c r="C5" s="10">
        <f>Assumptions!B6</f>
        <v>0.09277311799133892</v>
      </c>
      <c r="D5" s="10">
        <f>Assumptions!B6</f>
        <v>0.09277311799133892</v>
      </c>
      <c r="E5" s="10">
        <f>Assumptions!B6</f>
        <v>0.09277311799133892</v>
      </c>
      <c r="F5" s="10">
        <f>Assumptions!B6</f>
        <v>0.09277311799133892</v>
      </c>
    </row>
    <row r="6" spans="1:6" x14ac:dyDescent="0.25">
      <c r="A6" t="s">
        <v>43</v>
      </c>
      <c r="B6" s="18">
        <f>Assumptions!B29*(1+B5)</f>
        <v>1599431910.2824333</v>
      </c>
      <c r="C6" s="18">
        <f>B6*(1+C5)</f>
        <v>1747816195.614178</v>
      </c>
      <c r="D6" s="18">
        <f>C6*(1+D5)</f>
        <v>1909966553.757065</v>
      </c>
      <c r="E6" s="18">
        <f>D6*(1+E5)</f>
        <v>2087160106.2082803</v>
      </c>
      <c r="F6" s="18">
        <f>E6*(1+F5)</f>
        <v>2280792457.0083566</v>
      </c>
    </row>
    <row r="7" spans="1:6" x14ac:dyDescent="0.25">
      <c r="A7" t="s">
        <v>5</v>
      </c>
      <c r="B7" s="10">
        <f>Assumptions!B7</f>
        <v>0.11451382742186546</v>
      </c>
      <c r="C7" s="10">
        <f>Assumptions!B7</f>
        <v>0.11451382742186546</v>
      </c>
      <c r="D7" s="10">
        <f>Assumptions!B7</f>
        <v>0.11451382742186546</v>
      </c>
      <c r="E7" s="10">
        <f>Assumptions!B7</f>
        <v>0.11451382742186546</v>
      </c>
      <c r="F7" s="10">
        <f>Assumptions!B7</f>
        <v>0.11451382742186546</v>
      </c>
    </row>
    <row r="8" spans="1:6" x14ac:dyDescent="0.25">
      <c r="A8" t="s">
        <v>44</v>
      </c>
      <c r="B8" s="18">
        <f>B6*B7</f>
        <v>183157069.74710715</v>
      </c>
      <c r="C8" s="18">
        <f>C6*C7</f>
        <v>200149122.1897034</v>
      </c>
      <c r="D8" s="18">
        <f>D6*D7</f>
        <v>218717580.31847167</v>
      </c>
      <c r="E8" s="18">
        <f>E6*E7</f>
        <v>239008692.20413738</v>
      </c>
      <c r="F8" s="18">
        <f>F6*F7</f>
        <v>261182273.80694744</v>
      </c>
    </row>
    <row r="9" spans="1:6" x14ac:dyDescent="0.25">
      <c r="A9" t="s">
        <v>45</v>
      </c>
      <c r="B9" s="18">
        <f>B8*(1-Assumptions!B8)</f>
        <v>131873090.21791714</v>
      </c>
      <c r="C9" s="18">
        <f>C8*(1-Assumptions!B8)</f>
        <v>144107367.97658646</v>
      </c>
      <c r="D9" s="18">
        <f>D8*(1-Assumptions!B8)</f>
        <v>157476657.8292996</v>
      </c>
      <c r="E9" s="18">
        <f>E8*(1-Assumptions!B8)</f>
        <v>172086258.38697892</v>
      </c>
      <c r="F9" s="18">
        <f>F8*(1-Assumptions!B8)</f>
        <v>188051237.14100215</v>
      </c>
    </row>
    <row r="10" spans="1:6" x14ac:dyDescent="0.25">
      <c r="A10" t="s">
        <v>46</v>
      </c>
      <c r="B10" s="18">
        <f>B6*Assumptions!B9</f>
        <v>121599852.52337039</v>
      </c>
      <c r="C10" s="18">
        <f>C6*Assumptions!B9</f>
        <v>132881049.98925044</v>
      </c>
      <c r="D10" s="18">
        <f>D6*Assumptions!B9</f>
        <v>145208839.31871617</v>
      </c>
      <c r="E10" s="18">
        <f>E6*Assumptions!B9</f>
        <v>158680316.1022168</v>
      </c>
      <c r="F10" s="18">
        <f>F6*Assumptions!B9</f>
        <v>173401583.79087073</v>
      </c>
    </row>
    <row r="11" spans="1:6" x14ac:dyDescent="0.25">
      <c r="A11" t="s">
        <v>47</v>
      </c>
      <c r="B11" s="18">
        <f>-B6*Assumptions!B10</f>
        <v>-121599852.52337039</v>
      </c>
      <c r="C11" s="18">
        <f>-C6*Assumptions!B10</f>
        <v>-132881049.98925044</v>
      </c>
      <c r="D11" s="18">
        <f>-D6*Assumptions!B10</f>
        <v>-145208839.31871617</v>
      </c>
      <c r="E11" s="18">
        <f>-E6*Assumptions!B10</f>
        <v>-158680316.1022168</v>
      </c>
      <c r="F11" s="18">
        <f>-F6*Assumptions!B10</f>
        <v>-173401583.79087073</v>
      </c>
    </row>
    <row r="12" spans="1:6" x14ac:dyDescent="0.25">
      <c r="A12" t="s">
        <v>48</v>
      </c>
      <c r="B12" s="18">
        <f>-(B6-Assumptions!B29)*Assumptions!B11</f>
        <v>-5638612.9524011705</v>
      </c>
      <c r="C12" s="18">
        <f>-(C6-B6)*Assumptions!B11</f>
        <v>-6161724.65714177</v>
      </c>
      <c r="D12" s="18">
        <f>-(D6-C6)*Assumptions!B11</f>
        <v>-6733367.065788926</v>
      </c>
      <c r="E12" s="18">
        <f>-(E6-D6)*Assumptions!B11</f>
        <v>-7358042.523062366</v>
      </c>
      <c r="F12" s="18">
        <f>-(F6-E6)*Assumptions!B11</f>
        <v>-8040671.070239715</v>
      </c>
    </row>
    <row r="13" spans="1:6" x14ac:dyDescent="0.25">
      <c r="A13" s="19" t="s">
        <v>49</v>
      </c>
      <c r="B13" s="20">
        <f>B9+B10+B11+B12</f>
        <v>126234477.26551597</v>
      </c>
      <c r="C13" s="20">
        <f>C9+C10+C11+C12</f>
        <v>137945643.3194447</v>
      </c>
      <c r="D13" s="20">
        <f>D9+D10+D11+D12</f>
        <v>150743290.76351064</v>
      </c>
      <c r="E13" s="20">
        <f>E9+E10+E11+E12</f>
        <v>164728215.86391652</v>
      </c>
      <c r="F13" s="20">
        <f>F9+F10+F11+F12</f>
        <v>180010566.0707624</v>
      </c>
    </row>
    <row r="14" spans="1:6" x14ac:dyDescent="0.25">
      <c r="A14" t="s">
        <v>50</v>
      </c>
      <c r="B14" s="21">
        <f>1/(1+Assumptions!$B$26)^(1-0.5*Assumptions!$B$32)</f>
        <v>0.9622339136514437</v>
      </c>
      <c r="C14" s="21">
        <f>1/(1+Assumptions!$B$26)^(2-0.5*Assumptions!$B$32)</f>
        <v>0.8909267078777501</v>
      </c>
      <c r="D14" s="21">
        <f>1/(1+Assumptions!$B$26)^(3-0.5*Assumptions!$B$32)</f>
        <v>0.8249037864377448</v>
      </c>
      <c r="E14" s="21">
        <f>1/(1+Assumptions!$B$26)^(4-0.5*Assumptions!$B$32)</f>
        <v>0.7637735527092308</v>
      </c>
      <c r="F14" s="21">
        <f>1/(1+Assumptions!$B$26)^(5-0.5*Assumptions!$B$32)</f>
        <v>0.7071734296883428</v>
      </c>
    </row>
    <row r="15" spans="1:6" x14ac:dyDescent="0.25">
      <c r="A15" s="19" t="s">
        <v>51</v>
      </c>
      <c r="B15" s="20">
        <f>B13*B14</f>
        <v>121467095.09694164</v>
      </c>
      <c r="C15" s="20">
        <f>C13*C14</f>
        <v>122899457.86867121</v>
      </c>
      <c r="D15" s="20">
        <f>D13*D14</f>
        <v>124348711.33090584</v>
      </c>
      <c r="E15" s="20">
        <f>E13*E14</f>
        <v>125815054.66183658</v>
      </c>
      <c r="F15" s="20">
        <f>F13*F14</f>
        <v>127298689.38840109</v>
      </c>
    </row>
    <row r="17" spans="1:2" x14ac:dyDescent="0.25">
      <c r="A17" s="22" t="s">
        <v>52</v>
      </c>
      <c r="B17" s="23">
        <f>SUM(B15:F15)</f>
        <v>621829008.3467563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180010566.0707624</v>
      </c>
    </row>
    <row r="5" spans="1:2" x14ac:dyDescent="0.25">
      <c r="A5" t="s">
        <v>56</v>
      </c>
      <c r="B5" s="18">
        <f>IF(Assumptions!$B$33=0,B4,B4-Forecast!F11-Forecast!F10-Forecast!F12)</f>
        <v>188051237.14100215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0.18826373443568076</v>
      </c>
    </row>
    <row r="7" spans="1:2" x14ac:dyDescent="0.25">
      <c r="A7" t="s">
        <v>58</v>
      </c>
      <c r="B7" s="18">
        <f>-MAX(Forecast!F9,0)*B6</f>
        <v>-35403228.169414856</v>
      </c>
    </row>
    <row r="8" spans="1:2" x14ac:dyDescent="0.25">
      <c r="A8" t="s">
        <v>59</v>
      </c>
      <c r="B8" s="18">
        <f>IF(OR(Assumptions!$B$33=0,Assumptions!B12&lt;=0),B5,MAX(B5+B7,0))</f>
        <v>152648008.9715873</v>
      </c>
    </row>
    <row r="9" spans="1:2" x14ac:dyDescent="0.25">
      <c r="A9" t="s">
        <v>60</v>
      </c>
      <c r="B9" s="18">
        <f>B8*(1+Assumptions!B12)/(Assumptions!B26-Assumptions!B12)</f>
        <v>2842885233.751026</v>
      </c>
    </row>
    <row r="10" spans="1:2" x14ac:dyDescent="0.25">
      <c r="A10" t="s">
        <v>61</v>
      </c>
      <c r="B10" s="18">
        <f>B9/(1+Assumptions!B26)^(5-0.5*Assumptions!B32)</f>
        <v>2010412900.9620595</v>
      </c>
    </row>
    <row r="11" spans="1:2" x14ac:dyDescent="0.25">
      <c r="A11" t="s">
        <v>62</v>
      </c>
      <c r="B11" s="18">
        <f>Forecast!B17+B10</f>
        <v>2632241909.308816</v>
      </c>
    </row>
    <row r="12" spans="1:2" x14ac:dyDescent="0.25">
      <c r="A12" t="s">
        <v>63</v>
      </c>
      <c r="B12" s="18">
        <f>-Assumptions!B30</f>
        <v>-664983000</v>
      </c>
    </row>
    <row r="13" spans="1:2" x14ac:dyDescent="0.25">
      <c r="A13" t="s">
        <v>64</v>
      </c>
      <c r="B13" s="18">
        <f>B11+B12</f>
        <v>1967258909.308816</v>
      </c>
    </row>
    <row r="14" spans="1:2" x14ac:dyDescent="0.25">
      <c r="A14" s="19" t="s">
        <v>65</v>
      </c>
      <c r="B14" s="24">
        <f>B13/Assumptions!B31</f>
        <v>10.95591798701091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434583857.59781814</v>
      </c>
    </row>
    <row r="18" spans="1:2" x14ac:dyDescent="0.25">
      <c r="A18" t="s">
        <v>60</v>
      </c>
      <c r="B18" s="18">
        <f>B17*Assumptions!B13</f>
        <v>4636840251.871984</v>
      </c>
    </row>
    <row r="19" spans="1:2" x14ac:dyDescent="0.25">
      <c r="A19" t="s">
        <v>61</v>
      </c>
      <c r="B19" s="18">
        <f>B18/(1+Assumptions!B26)^(5-0.5*Assumptions!B32)</f>
        <v>3279050223.83327</v>
      </c>
    </row>
    <row r="20" spans="1:2" x14ac:dyDescent="0.25">
      <c r="A20" t="s">
        <v>62</v>
      </c>
      <c r="B20" s="18">
        <f>Forecast!B17+B19</f>
        <v>3900879232.1800265</v>
      </c>
    </row>
    <row r="21" spans="1:2" x14ac:dyDescent="0.25">
      <c r="A21" t="s">
        <v>63</v>
      </c>
      <c r="B21" s="18">
        <f>-Assumptions!B30</f>
        <v>-664983000</v>
      </c>
    </row>
    <row r="22" spans="1:2" x14ac:dyDescent="0.25">
      <c r="A22" t="s">
        <v>64</v>
      </c>
      <c r="B22" s="18">
        <f>B20+B21</f>
        <v>3235896232.1800265</v>
      </c>
    </row>
    <row r="23" spans="1:2" x14ac:dyDescent="0.25">
      <c r="A23" s="19" t="s">
        <v>65</v>
      </c>
      <c r="B23" s="25">
        <f>B22/Assumptions!B31</f>
        <v>18.021122469689512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12.83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10.95591798701091</v>
      </c>
    </row>
    <row r="29" spans="1:2" x14ac:dyDescent="0.25">
      <c r="A29" s="19" t="s">
        <v>73</v>
      </c>
      <c r="B29" s="12">
        <f>B28/B26-1</f>
        <v>-0.14607030498745832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0.060037</v>
      </c>
      <c r="B5" s="31">
        <v>16.033147669578632</v>
      </c>
      <c r="C5" s="31">
        <v>17.36087202080485</v>
      </c>
      <c r="D5" s="31">
        <v>19.058888161187102</v>
      </c>
      <c r="E5" s="31">
        <v>21.31211391998065</v>
      </c>
      <c r="F5" s="31">
        <v>24.45318277069148</v>
      </c>
    </row>
    <row r="6" spans="1:6" x14ac:dyDescent="0.25">
      <c r="A6" s="30">
        <v>0.070037</v>
      </c>
      <c r="B6" s="31">
        <v>12.475743791821948</v>
      </c>
      <c r="C6" s="31">
        <v>13.213860113064003</v>
      </c>
      <c r="D6" s="31">
        <v>14.109411044558398</v>
      </c>
      <c r="E6" s="31">
        <v>15.221380005487038</v>
      </c>
      <c r="F6" s="31">
        <v>16.642419632819788</v>
      </c>
    </row>
    <row r="7" spans="1:6" x14ac:dyDescent="0.25">
      <c r="A7" s="30">
        <v>0.080037</v>
      </c>
      <c r="B7" s="31">
        <v>10.012393302188265</v>
      </c>
      <c r="C7" s="31">
        <v>10.44720267303109</v>
      </c>
      <c r="D7" s="32">
        <v>10.955948371893072</v>
      </c>
      <c r="E7" s="31">
        <v>11.560794895452432</v>
      </c>
      <c r="F7" s="31">
        <v>12.293749534835579</v>
      </c>
    </row>
    <row r="8" spans="1:6" x14ac:dyDescent="0.25">
      <c r="A8" s="30">
        <v>0.090037</v>
      </c>
      <c r="B8" s="31">
        <v>8.205703490405327</v>
      </c>
      <c r="C8" s="31">
        <v>8.469705468047277</v>
      </c>
      <c r="D8" s="31">
        <v>8.770186504040476</v>
      </c>
      <c r="E8" s="31">
        <v>9.11626074258382</v>
      </c>
      <c r="F8" s="31">
        <v>9.520354334053453</v>
      </c>
    </row>
    <row r="9" spans="1:6" x14ac:dyDescent="0.25">
      <c r="A9" s="30">
        <v>0.100037</v>
      </c>
      <c r="B9" s="31">
        <v>6.82402234778198</v>
      </c>
      <c r="C9" s="31">
        <v>6.985629572881859</v>
      </c>
      <c r="D9" s="31">
        <v>7.165352025066441</v>
      </c>
      <c r="E9" s="31">
        <v>7.36706948796825</v>
      </c>
      <c r="F9" s="31">
        <v>7.595854845649563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1463645000</v>
      </c>
      <c r="C5" s="18">
        <v>1289559000</v>
      </c>
      <c r="D5" s="18">
        <v>1209151000</v>
      </c>
      <c r="E5" s="18">
        <v>1121620000</v>
      </c>
      <c r="F5" s="8" t="s">
        <v>84</v>
      </c>
    </row>
    <row r="6" spans="1:6" x14ac:dyDescent="0.25">
      <c r="A6" t="s">
        <v>44</v>
      </c>
      <c r="B6" s="18">
        <v>166915000</v>
      </c>
      <c r="C6" s="18">
        <v>144339000</v>
      </c>
      <c r="D6" s="18">
        <v>136358000</v>
      </c>
      <c r="E6" s="18">
        <v>133825000</v>
      </c>
      <c r="F6" s="8" t="s">
        <v>85</v>
      </c>
    </row>
    <row r="7" spans="1:6" x14ac:dyDescent="0.25">
      <c r="A7" t="s">
        <v>86</v>
      </c>
      <c r="B7" s="18">
        <v>110907000</v>
      </c>
      <c r="C7" s="18">
        <v>102495000</v>
      </c>
      <c r="D7" s="18">
        <v>92749000</v>
      </c>
      <c r="E7" s="18">
        <v>80921000</v>
      </c>
      <c r="F7" s="8" t="s">
        <v>87</v>
      </c>
    </row>
    <row r="8" spans="1:6" x14ac:dyDescent="0.25">
      <c r="A8" t="s">
        <v>88</v>
      </c>
      <c r="B8" s="18">
        <v>33948000</v>
      </c>
      <c r="C8" s="18">
        <v>29544000</v>
      </c>
      <c r="D8" s="18">
        <v>31437000</v>
      </c>
      <c r="E8" s="18">
        <v>37251000</v>
      </c>
      <c r="F8" s="8" t="s">
        <v>89</v>
      </c>
    </row>
    <row r="9" spans="1:6" x14ac:dyDescent="0.25">
      <c r="A9" t="s">
        <v>90</v>
      </c>
      <c r="B9" s="18">
        <v>7229000</v>
      </c>
      <c r="C9" s="18">
        <v>-5793000</v>
      </c>
      <c r="D9" s="18">
        <v>9749000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697887000</v>
      </c>
      <c r="C10" s="18">
        <v>632170000</v>
      </c>
      <c r="D10" s="18">
        <v>648741000</v>
      </c>
      <c r="E10" s="18">
        <v>655467000</v>
      </c>
      <c r="F10" s="8" t="s">
        <v>93</v>
      </c>
    </row>
    <row r="11" spans="1:6" x14ac:dyDescent="0.25">
      <c r="A11" t="s">
        <v>94</v>
      </c>
      <c r="B11" s="18">
        <v>32904000</v>
      </c>
      <c r="C11" s="18">
        <v>43261000</v>
      </c>
      <c r="D11" s="18">
        <v>35653000</v>
      </c>
      <c r="E11" s="18">
        <v>44485000</v>
      </c>
      <c r="F11" s="8" t="s">
        <v>95</v>
      </c>
    </row>
    <row r="12" spans="1:6" x14ac:dyDescent="0.25">
      <c r="A12" t="s">
        <v>32</v>
      </c>
      <c r="B12" s="34">
        <v>179561303</v>
      </c>
      <c r="C12" s="34">
        <v>179190583</v>
      </c>
      <c r="D12" s="34">
        <v>178366000</v>
      </c>
      <c r="E12" s="34">
        <v>174525000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70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2026-09-19T00:08:36Z</dcterms:modified>
</cp:coreProperties>
</file>