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<sst xmlns="http://schemas.openxmlformats.org/spreadsheetml/2006/main" count="121" uniqueCount="108">
  <si>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First Solar, Inc. (FSLR)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</si>
  <si>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</si>
  <si>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</si>
  <si>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</si>
  <si>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</si>
  <si>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</si>
  <si>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</si>
  <si>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</si>
  <si>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</si>
  <si>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</si>
  <si>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</si>
  <si>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</si>
  <si>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</si>
  <si>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</si>
  <si>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</si>
  <si>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</si>
  <si>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</si>
  <si>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</si>
  <si>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</si>
  <si>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</si>
  <si>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</si>
  <si>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</si>
  <si>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</si>
  <si>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</si>
  <si>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</si>
  <si>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</si>
  <si>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</si>
  <si>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</si>
  <si>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</si>
  <si>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</si>
  <si>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</si>
  <si>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</si>
  <si>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</si>
  <si>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</si>
  <si>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</si>
  <si>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</si>
  <si>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</si>
  <si>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</si>
  <si>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</si>
  <si>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</si>
  <si>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</si>
  <si>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</si>
  <si>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</si>
  <si>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</si>
  <si>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</si>
  <si>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</si>
  <si>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</si>
  <si>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</si>
  <si>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</si>
  <si>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</si>
  <si>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</si>
  <si>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</si>
  <si>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</si>
  <si>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</si>
  <si>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</si>
  <si>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</si>
  <si>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</si>
  <si>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</si>
  <si>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</si>
  <si>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</si>
  <si>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</si>
  <si>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</si>
  <si>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</si>
  <si>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</si>
  <si>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</si>
  <si>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</si>
  <si>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</si>
  <si>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</si>
  <si>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</si>
  <si>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</si>
  <si>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</si>
  <si>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</si>
  <si>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</si>
  <si>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</si>
  <si>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</si>
  <si>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</si>
  <si>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</si>
  <si>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</si>
  <si>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</si>
  <si>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</si>
  <si>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</si>
  <si>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</si>
  <si>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</si>
  <si>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</si>
  <si>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</si>
  <si>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</si>
  <si>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</si>
  <si>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</si>
  <si>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</si>
  <si>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</si>
  <si>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</si>
  <si>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</si>
  <si>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</si>
  <si>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</si>
  <si>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</si>
  <si>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</si>
  <si>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</si>
  <si>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</si>
  <si>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</si>
  <si>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</si>
  <si>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</si>
  <si>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</si>
  <si>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</si>
  <si>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</si>
  <si>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</si>
  <si>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</si>
  <si>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32.3% of revenue against depreciation of 9.9%.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</si>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</sst>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-0.07208288308793998</v>
      </c>
    </row>
    <row r="7" spans="1:2" x14ac:dyDescent="0.25">
      <c r="A7" t="s">
        <v>4</v>
      </c>
      <c r="B7" s="5">
        <v>0.1992708212828921</v>
      </c>
    </row>
    <row r="8" spans="1:2" x14ac:dyDescent="0.25">
      <c r="A8" t="s">
        <v>5</v>
      </c>
      <c r="B8" s="5">
        <v>0.0745821873332805</v>
      </c>
    </row>
    <row r="9" spans="1:2" x14ac:dyDescent="0.25">
      <c r="A9" t="s">
        <v>6</v>
      </c>
      <c r="B9" s="5">
        <v>0.09946495208678635</v>
      </c>
    </row>
    <row r="10" spans="1:3" x14ac:dyDescent="0.25">
      <c r="A10" t="s">
        <v>7</v>
      </c>
      <c r="B10" s="5">
        <v>0.32308178942160165</v>
      </c>
      <c r="C10" s="6" t="s">
        <v>8</v>
      </c>
    </row>
    <row r="11" spans="1:2" x14ac:dyDescent="0.25">
      <c r="A11" t="s">
        <v>9</v>
      </c>
      <c r="B11" s="5">
        <v>0.40870864131155205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7.78084679409994</v>
      </c>
    </row>
    <row r="14" spans="1:3" x14ac:dyDescent="0.25">
      <c r="A14" t="s">
        <v>12</v>
      </c>
      <c r="B14" s="5">
        <v>0.14723826229454284</v>
      </c>
      <c r="C14" s="6" t="s">
        <v>13</v>
      </c>
    </row>
    <row r="15" spans="1:3" x14ac:dyDescent="0.25">
      <c r="A15" t="s">
        <v>14</v>
      </c>
      <c r="B15" s="5">
        <v>0.09946495208678635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1.53198</v>
      </c>
      <c r="C19" s="6" t="s">
        <v>21</v>
      </c>
    </row>
    <row r="20" spans="1:2" x14ac:dyDescent="0.25">
      <c r="A20" t="s">
        <v>22</v>
      </c>
      <c r="B20" s="9">
        <f>B17+B19*B18</f>
        <v>0.113742754</v>
      </c>
    </row>
    <row r="21" spans="1:3" x14ac:dyDescent="0.25">
      <c r="A21" t="s">
        <v>23</v>
      </c>
      <c r="B21" s="5">
        <v>0.06423085907737001</v>
      </c>
      <c r="C21" s="6" t="s">
        <v>24</v>
      </c>
    </row>
    <row r="22" spans="1:2" x14ac:dyDescent="0.25">
      <c r="A22" t="s">
        <v>25</v>
      </c>
      <c r="B22" s="10">
        <v>18742730752</v>
      </c>
    </row>
    <row r="23" spans="1:2" x14ac:dyDescent="0.25">
      <c r="A23" t="s">
        <v>26</v>
      </c>
      <c r="B23" s="10">
        <v>655335000</v>
      </c>
    </row>
    <row r="24" spans="1:2" x14ac:dyDescent="0.25">
      <c r="A24" t="s">
        <v>27</v>
      </c>
      <c r="B24" s="9">
        <f>B22/(B22+B23)</f>
        <v>0.9662164770251677</v>
      </c>
    </row>
    <row r="25" spans="1:2" x14ac:dyDescent="0.25">
      <c r="A25" t="s">
        <v>28</v>
      </c>
      <c r="B25" s="9">
        <f>1-B24</f>
        <v>0.033783522974832336</v>
      </c>
    </row>
    <row r="26" spans="1:2" x14ac:dyDescent="0.25">
      <c r="A26" t="s">
        <v>29</v>
      </c>
      <c r="B26" s="11">
        <f>B24*B20+B25*B21*(1-B8)</f>
        <v>0.11190822853798696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5219376000</v>
      </c>
      <c r="C29" s="6" t="s">
        <v>32</v>
      </c>
    </row>
    <row r="30" spans="1:2" x14ac:dyDescent="0.25">
      <c r="A30" t="s">
        <v>33</v>
      </c>
      <c r="B30" s="10">
        <v>-2200028000</v>
      </c>
    </row>
    <row r="31" spans="1:2" x14ac:dyDescent="0.25">
      <c r="A31" t="s">
        <v>34</v>
      </c>
      <c r="B31" s="12">
        <v>107537000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-0.07208288308793998</v>
      </c>
      <c r="C5" s="5">
        <v>0.2276790147370935</v>
      </c>
      <c r="D5" s="5">
        <v>0.2023441378949568</v>
      </c>
      <c r="E5" s="5">
        <v>0.17700926105282014</v>
      </c>
      <c r="F5" s="5">
        <v>0.15167438421068344</v>
      </c>
      <c r="G5" s="5">
        <v>0.12633950736854677</v>
      </c>
      <c r="H5" s="5">
        <v>0.10100463052641007</v>
      </c>
      <c r="I5" s="5">
        <v>0.07566975368427337</v>
      </c>
      <c r="J5" s="5">
        <v>0.050334876842136694</v>
      </c>
      <c r="K5" s="5">
        <v>0.024999999999999994</v>
      </c>
    </row>
    <row r="6" spans="1:11" x14ac:dyDescent="0.25">
      <c r="A6" t="s">
        <v>50</v>
      </c>
      <c r="B6" s="18">
        <f>Assumptions!B29*(1+B5)</f>
        <v>4843148330</v>
      </c>
      <c r="C6" s="18">
        <f>B6*(1+C5)</f>
        <v>5945831570</v>
      </c>
      <c r="D6" s="18">
        <f>C6*(1+D5)</f>
        <v>7148935733.100267</v>
      </c>
      <c r="E6" s="18">
        <f>D6*(1+E5)</f>
        <v>8414363564.530447</v>
      </c>
      <c r="F6" s="18">
        <f>E6*(1+F5)</f>
        <v>9690606976.705414</v>
      </c>
      <c r="G6" s="18">
        <f>F6*(1+G5)</f>
        <v>10914913488.244577</v>
      </c>
      <c r="H6" s="18">
        <f>G6*(1+H5)</f>
        <v>12017370292.352451</v>
      </c>
      <c r="I6" s="18">
        <f>H6*(1+I5)</f>
        <v>12926721742.307467</v>
      </c>
      <c r="J6" s="18">
        <f>I6*(1+J5)</f>
        <v>13577386689.179085</v>
      </c>
      <c r="K6" s="18">
        <f>J6*(1+K5)</f>
        <v>13916821356.40856</v>
      </c>
    </row>
    <row r="7" spans="1:11" x14ac:dyDescent="0.25">
      <c r="A7" t="s">
        <v>4</v>
      </c>
      <c r="B7" s="9">
        <f>Assumptions!B7</f>
        <v>0.1992708212828921</v>
      </c>
      <c r="C7" s="9">
        <f>Assumptions!B7</f>
        <v>0.1992708212828921</v>
      </c>
      <c r="D7" s="9">
        <f>Assumptions!B7</f>
        <v>0.1992708212828921</v>
      </c>
      <c r="E7" s="9">
        <f>Assumptions!B7</f>
        <v>0.1992708212828921</v>
      </c>
      <c r="F7" s="9">
        <f>Assumptions!B7</f>
        <v>0.1992708212828921</v>
      </c>
      <c r="G7" s="9">
        <f>Assumptions!B7</f>
        <v>0.1992708212828921</v>
      </c>
      <c r="H7" s="9">
        <f>Assumptions!B7</f>
        <v>0.1992708212828921</v>
      </c>
      <c r="I7" s="9">
        <f>Assumptions!B7</f>
        <v>0.1992708212828921</v>
      </c>
      <c r="J7" s="9">
        <f>Assumptions!B7</f>
        <v>0.1992708212828921</v>
      </c>
      <c r="K7" s="9">
        <f>Assumptions!B7</f>
        <v>0.1992708212828921</v>
      </c>
    </row>
    <row r="8" spans="1:11" x14ac:dyDescent="0.25">
      <c r="A8" t="s">
        <v>51</v>
      </c>
      <c r="B8" s="18">
        <f>B6*B7</f>
        <v>965098145.3139673</v>
      </c>
      <c r="C8" s="18">
        <f>C6*C7</f>
        <v>1184830740.163648</v>
      </c>
      <c r="D8" s="18">
        <f>D6*D7</f>
        <v>1424574294.8335047</v>
      </c>
      <c r="E8" s="18">
        <f>E6*E7</f>
        <v>1676737138.0768259</v>
      </c>
      <c r="F8" s="18">
        <f>F6*F7</f>
        <v>1931055210.977812</v>
      </c>
      <c r="G8" s="18">
        <f>G6*G7</f>
        <v>2175023775.0342135</v>
      </c>
      <c r="H8" s="18">
        <f>H6*H7</f>
        <v>2394711247.8177023</v>
      </c>
      <c r="I8" s="18">
        <f>I6*I7</f>
        <v>2575918458.0850267</v>
      </c>
      <c r="J8" s="18">
        <f>J6*J7</f>
        <v>2705576996.4281235</v>
      </c>
      <c r="K8" s="18">
        <f>K6*K7</f>
        <v>2773216421.338826</v>
      </c>
    </row>
    <row r="9" spans="1:11" x14ac:dyDescent="0.25">
      <c r="A9" t="s">
        <v>52</v>
      </c>
      <c r="B9" s="18">
        <f>B8*(1-Assumptions!B8)</f>
        <v>893119014.6451595</v>
      </c>
      <c r="C9" s="18">
        <f>C8*(1-Assumptions!B8)</f>
        <v>1096463471.9425333</v>
      </c>
      <c r="D9" s="18">
        <f>D8*(1-Assumptions!B8)</f>
        <v>1318326427.9060564</v>
      </c>
      <c r="E9" s="18">
        <f>E8*(1-Assumptions!B8)</f>
        <v>1551682414.7361114</v>
      </c>
      <c r="F9" s="18">
        <f>F8*(1-Assumptions!B8)</f>
        <v>1787032889.4817574</v>
      </c>
      <c r="G9" s="18">
        <f>G8*(1-Assumptions!B8)</f>
        <v>2012805744.3902729</v>
      </c>
      <c r="H9" s="18">
        <f>H8*(1-Assumptions!B8)</f>
        <v>2216108444.9238486</v>
      </c>
      <c r="I9" s="18">
        <f>I8*(1-Assumptions!B8)</f>
        <v>2383800825.0888743</v>
      </c>
      <c r="J9" s="18">
        <f>J8*(1-Assumptions!B8)</f>
        <v>2503789146.035907</v>
      </c>
      <c r="K9" s="18">
        <f>K8*(1-Assumptions!B8)</f>
        <v>2566383874.6868043</v>
      </c>
    </row>
    <row r="10" spans="1:11" x14ac:dyDescent="0.25">
      <c r="A10" t="s">
        <v>53</v>
      </c>
      <c r="B10" s="18">
        <f>B6*Assumptions!B9</f>
        <v>481723516.59264934</v>
      </c>
      <c r="C10" s="18">
        <f>C6*Assumptions!B9</f>
        <v>591401852.2261517</v>
      </c>
      <c r="D10" s="18">
        <f>D6*Assumptions!B9</f>
        <v>711068550.164333</v>
      </c>
      <c r="E10" s="18">
        <f>E6*Assumptions!B9</f>
        <v>836934268.7868217</v>
      </c>
      <c r="F10" s="18">
        <f>F6*Assumptions!B9</f>
        <v>963875758.6298815</v>
      </c>
      <c r="G10" s="18">
        <f>G6*Assumptions!B9</f>
        <v>1085651347.139665</v>
      </c>
      <c r="H10" s="18">
        <f>H6*Assumptions!B9</f>
        <v>1195307160.3380063</v>
      </c>
      <c r="I10" s="18">
        <f>I6*Assumptions!B9</f>
        <v>1285755758.7378316</v>
      </c>
      <c r="J10" s="18">
        <f>J6*Assumptions!B9</f>
        <v>1350474116.5029685</v>
      </c>
      <c r="K10" s="18">
        <f>K6*Assumptions!B9</f>
        <v>1384235969.4155424</v>
      </c>
    </row>
    <row r="11" spans="1:11" x14ac:dyDescent="0.25">
      <c r="A11" t="s">
        <v>54</v>
      </c>
      <c r="B11" s="18">
        <f>-B6*B19</f>
        <v>-1564733028.8906417</v>
      </c>
      <c r="C11" s="18">
        <f>-C6*C19</f>
        <v>-1793943633.8634012</v>
      </c>
      <c r="D11" s="18">
        <f>-D6*D19</f>
        <v>-2004184274.669211</v>
      </c>
      <c r="E11" s="18">
        <f>-E6*E19</f>
        <v>-2179151359.5769234</v>
      </c>
      <c r="F11" s="18">
        <f>-F6*F19</f>
        <v>-2302610852.651688</v>
      </c>
      <c r="G11" s="18">
        <f>-G6*G19</f>
        <v>-2360299521.505456</v>
      </c>
      <c r="H11" s="18">
        <f>-H6*H19</f>
        <v>-2341922143.489088</v>
      </c>
      <c r="I11" s="18">
        <f>-I6*I19</f>
        <v>-2242925885.797125</v>
      </c>
      <c r="J11" s="18">
        <f>-J6*J19</f>
        <v>-2065711412.1412992</v>
      </c>
      <c r="K11" s="18">
        <f>-K6*K19</f>
        <v>-1819989528.7642803</v>
      </c>
    </row>
    <row r="12" spans="1:11" x14ac:dyDescent="0.25">
      <c r="A12" t="s">
        <v>55</v>
      </c>
      <c r="B12" s="18">
        <f>-(B6-Assumptions!B29)*Assumptions!B11</f>
        <v>153767499.82951096</v>
      </c>
      <c r="C12" s="18">
        <f>-(C6-B6)*Assumptions!B11</f>
        <v>-450676168.81742007</v>
      </c>
      <c r="D12" s="18">
        <f>-(D6-C6)*Assumptions!B11</f>
        <v>-491719067.85698223</v>
      </c>
      <c r="E12" s="18">
        <f>-(E6-D6)*Assumptions!B11</f>
        <v>-517191289.66165245</v>
      </c>
      <c r="F12" s="18">
        <f>-(F6-E6)*Assumptions!B11</f>
        <v>-521611710.9728498</v>
      </c>
      <c r="G12" s="18">
        <f>-(G6-F6)*Assumptions!B11</f>
        <v>-500384650.8800576</v>
      </c>
      <c r="H12" s="18">
        <f>-(H6-G6)*Assumptions!B11</f>
        <v>-450583622.511605</v>
      </c>
      <c r="I12" s="18">
        <f>-(I6-H6)*Assumptions!B11</f>
        <v>-371659795.58580405</v>
      </c>
      <c r="J12" s="18">
        <f>-(J6-I6)*Assumptions!B11</f>
        <v>-265932386.3849523</v>
      </c>
      <c r="K12" s="18">
        <f>-(K6-J6)*Assumptions!B11</f>
        <v>-138729881.65739754</v>
      </c>
    </row>
    <row r="13" spans="1:11" x14ac:dyDescent="0.25">
      <c r="A13" s="19" t="s">
        <v>56</v>
      </c>
      <c r="B13" s="20">
        <f>B9+B10+B11+B12</f>
        <v>-36122997.82332203</v>
      </c>
      <c r="C13" s="20">
        <f>C9+C10+C11+C12</f>
        <v>-556754478.5121362</v>
      </c>
      <c r="D13" s="20">
        <f>D9+D10+D11+D12</f>
        <v>-466508364.4558039</v>
      </c>
      <c r="E13" s="20">
        <f>E9+E10+E11+E12</f>
        <v>-307725965.7156428</v>
      </c>
      <c r="F13" s="20">
        <f>F9+F10+F11+F12</f>
        <v>-73313915.51289886</v>
      </c>
      <c r="G13" s="20">
        <f>G9+G10+G11+G12</f>
        <v>237772919.1444242</v>
      </c>
      <c r="H13" s="20">
        <f>H9+H10+H11+H12</f>
        <v>618909839.261162</v>
      </c>
      <c r="I13" s="20">
        <f>I9+I10+I11+I12</f>
        <v>1054970902.4437771</v>
      </c>
      <c r="J13" s="20">
        <f>J9+J10+J11+J12</f>
        <v>1522619464.012624</v>
      </c>
      <c r="K13" s="20">
        <f>K9+K10+K11+K12</f>
        <v>1991900433.6806686</v>
      </c>
    </row>
    <row r="14" spans="1:11" x14ac:dyDescent="0.25">
      <c r="A14" t="s">
        <v>57</v>
      </c>
      <c r="B14" s="21">
        <f>1/(1+Assumptions!$B$26)^(1-0.5*Assumptions!$B$32)</f>
        <v>0.94834318564325</v>
      </c>
      <c r="C14" s="21">
        <f>1/(1+Assumptions!$B$26)^(2-0.5*Assumptions!$B$32)</f>
        <v>0.8528969939274544</v>
      </c>
      <c r="D14" s="21">
        <f>1/(1+Assumptions!$B$26)^(3-0.5*Assumptions!$B$32)</f>
        <v>0.7670570034803159</v>
      </c>
      <c r="E14" s="21">
        <f>1/(1+Assumptions!$B$26)^(4-0.5*Assumptions!$B$32)</f>
        <v>0.6898563962323537</v>
      </c>
      <c r="F14" s="21">
        <f>1/(1+Assumptions!$B$26)^(5-0.5*Assumptions!$B$32)</f>
        <v>0.6204256597142231</v>
      </c>
      <c r="G14" s="21">
        <f>1/(1+Assumptions!$B$26)^(6-0.5*Assumptions!$B$32)</f>
        <v>0.5579827937149106</v>
      </c>
      <c r="H14" s="21">
        <f>1/(1+Assumptions!$B$26)^(7-0.5*Assumptions!$B$32)</f>
        <v>0.5018245025927944</v>
      </c>
      <c r="I14" s="21">
        <f>1/(1+Assumptions!$B$26)^(8-0.5*Assumptions!$B$32)</f>
        <v>0.45131827403834196</v>
      </c>
      <c r="J14" s="21">
        <f>1/(1+Assumptions!$B$26)^(9-0.5*Assumptions!$B$32)</f>
        <v>0.40589525507133456</v>
      </c>
      <c r="K14" s="21">
        <f>1/(1+Assumptions!$B$26)^(10-0.5*Assumptions!$B$32)</f>
        <v>0.3650438450347952</v>
      </c>
    </row>
    <row r="15" spans="1:11" x14ac:dyDescent="0.25">
      <c r="A15" s="19" t="s">
        <v>58</v>
      </c>
      <c r="B15" s="20">
        <f>B13*B14</f>
        <v>-34256998.8307534</v>
      </c>
      <c r="C15" s="20">
        <f>C13*C14</f>
        <v>-474854221.0786485</v>
      </c>
      <c r="D15" s="20">
        <f>D13*D14</f>
        <v>-357838508.13797206</v>
      </c>
      <c r="E15" s="20">
        <f>E13*E14</f>
        <v>-212286725.7357142</v>
      </c>
      <c r="F15" s="20">
        <f>F13*F14</f>
        <v>-45485834.3983231</v>
      </c>
      <c r="G15" s="20">
        <f>G13*G14</f>
        <v>132673197.69395536</v>
      </c>
      <c r="H15" s="20">
        <f>H13*H14</f>
        <v>310584122.237019</v>
      </c>
      <c r="I15" s="20">
        <f>I13*I14</f>
        <v>476127646.8515975</v>
      </c>
      <c r="J15" s="20">
        <f>J13*J14</f>
        <v>618024015.7219827</v>
      </c>
      <c r="K15" s="20">
        <f>K13*K14</f>
        <v>727130993.2372674</v>
      </c>
    </row>
    <row r="17" spans="1:2" x14ac:dyDescent="0.25">
      <c r="A17" s="22" t="s">
        <v>59</v>
      </c>
      <c r="B17" s="23">
        <f>SUM(B15:K15)</f>
        <v>1139817687.5604107</v>
      </c>
    </row>
    <row r="19" spans="1:11" x14ac:dyDescent="0.25">
      <c r="A19" t="s">
        <v>7</v>
      </c>
      <c r="B19" s="9">
        <f>Assumptions!$B$10+($B$20-Assumptions!$B$10)*0/9</f>
        <v>0.32308178942160165</v>
      </c>
      <c r="C19" s="9">
        <f>Assumptions!$B$10+($B$20-Assumptions!$B$10)*1/9</f>
        <v>0.3017145058253645</v>
      </c>
      <c r="D19" s="9">
        <f>Assumptions!$B$10+($B$20-Assumptions!$B$10)*2/9</f>
        <v>0.28034722222912745</v>
      </c>
      <c r="E19" s="9">
        <f>Assumptions!$B$10+($B$20-Assumptions!$B$10)*3/9</f>
        <v>0.2589799386328903</v>
      </c>
      <c r="F19" s="9">
        <f>Assumptions!$B$10+($B$20-Assumptions!$B$10)*4/9</f>
        <v>0.2376126550366532</v>
      </c>
      <c r="G19" s="9">
        <f>Assumptions!$B$10+($B$20-Assumptions!$B$10)*5/9</f>
        <v>0.21624537144041606</v>
      </c>
      <c r="H19" s="9">
        <f>Assumptions!$B$10+($B$20-Assumptions!$B$10)*6/9</f>
        <v>0.19487808784417898</v>
      </c>
      <c r="I19" s="9">
        <f>Assumptions!$B$10+($B$20-Assumptions!$B$10)*7/9</f>
        <v>0.17351080424794185</v>
      </c>
      <c r="J19" s="9">
        <f>Assumptions!$B$10+($B$20-Assumptions!$B$10)*8/9</f>
        <v>0.15214352065170475</v>
      </c>
      <c r="K19" s="9">
        <f>Assumptions!$B$10+($B$20-Assumptions!$B$10)*9/9</f>
        <v>0.13077623705546762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0.13077623705546762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1991900433.6806686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2566383874.6868043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0.16979282158321551</v>
      </c>
    </row>
    <row r="7" spans="1:2" x14ac:dyDescent="0.25">
      <c r="A7" t="s">
        <v>66</v>
      </c>
      <c r="B7" s="18">
        <f>-MAX(B5,0)*B6</f>
        <v>-435753559.3487379</v>
      </c>
    </row>
    <row r="8" spans="1:2" x14ac:dyDescent="0.25">
      <c r="A8" t="s">
        <v>67</v>
      </c>
      <c r="B8" s="18">
        <f>IF(OR(Assumptions!$B$33=0,Assumptions!B12&lt;=0),B5,MAX(B5+B7,0))</f>
        <v>2130630315.3380663</v>
      </c>
    </row>
    <row r="9" spans="1:2" x14ac:dyDescent="0.25">
      <c r="A9" t="s">
        <v>68</v>
      </c>
      <c r="B9" s="18">
        <f>B8*(1+Assumptions!B12)/(Assumptions!B26-Assumptions!B12)</f>
        <v>25128760647.41042</v>
      </c>
    </row>
    <row r="10" spans="1:2" x14ac:dyDescent="0.25">
      <c r="A10" t="s">
        <v>69</v>
      </c>
      <c r="B10" s="18">
        <f>B9/(1+Assumptions!B26)^(10-0.5*Assumptions!B32)</f>
        <v>9173099407.689749</v>
      </c>
    </row>
    <row r="11" spans="1:2" x14ac:dyDescent="0.25">
      <c r="A11" t="s">
        <v>70</v>
      </c>
      <c r="B11" s="18">
        <f>Forecast!B17+B10</f>
        <v>10312917095.25016</v>
      </c>
    </row>
    <row r="12" spans="1:2" x14ac:dyDescent="0.25">
      <c r="A12" t="s">
        <v>71</v>
      </c>
      <c r="B12" s="18">
        <f>-Assumptions!B30</f>
        <v>2200028000</v>
      </c>
    </row>
    <row r="13" spans="1:2" x14ac:dyDescent="0.25">
      <c r="A13" t="s">
        <v>72</v>
      </c>
      <c r="B13" s="18">
        <f>B11+B12</f>
        <v>12512945095.25016</v>
      </c>
    </row>
    <row r="14" spans="1:2" x14ac:dyDescent="0.25">
      <c r="A14" s="19" t="s">
        <v>73</v>
      </c>
      <c r="B14" s="24">
        <f>B13/Assumptions!B31</f>
        <v>116.35943996252601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4157452390.754369</v>
      </c>
    </row>
    <row r="18" spans="1:2" x14ac:dyDescent="0.25">
      <c r="A18" t="s">
        <v>68</v>
      </c>
      <c r="B18" s="18">
        <f>B17*Assumptions!B13</f>
        <v>32348500106.224262</v>
      </c>
    </row>
    <row r="19" spans="1:2" x14ac:dyDescent="0.25">
      <c r="A19" t="s">
        <v>69</v>
      </c>
      <c r="B19" s="18">
        <f>B18/(1+Assumptions!B26)^(10-0.5*Assumptions!B32)</f>
        <v>11808620859.884586</v>
      </c>
    </row>
    <row r="20" spans="1:2" x14ac:dyDescent="0.25">
      <c r="A20" t="s">
        <v>70</v>
      </c>
      <c r="B20" s="18">
        <f>Forecast!B17+B19</f>
        <v>12948438547.444998</v>
      </c>
    </row>
    <row r="21" spans="1:2" x14ac:dyDescent="0.25">
      <c r="A21" t="s">
        <v>71</v>
      </c>
      <c r="B21" s="18">
        <f>-Assumptions!B30</f>
        <v>2200028000</v>
      </c>
    </row>
    <row r="22" spans="1:2" x14ac:dyDescent="0.25">
      <c r="A22" t="s">
        <v>72</v>
      </c>
      <c r="B22" s="18">
        <f>B20+B21</f>
        <v>15148466547.444998</v>
      </c>
    </row>
    <row r="23" spans="1:2" x14ac:dyDescent="0.25">
      <c r="A23" s="19" t="s">
        <v>73</v>
      </c>
      <c r="B23" s="25">
        <f>B22/Assumptions!B31</f>
        <v>140.86748326106363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174.4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116.35943996252601</v>
      </c>
    </row>
    <row r="29" spans="1:2" x14ac:dyDescent="0.25">
      <c r="A29" s="19" t="s">
        <v>81</v>
      </c>
      <c r="B29" s="11">
        <f>B28/B26-1</f>
        <v>-0.33280137636166285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0.091908</v>
      </c>
      <c r="B5" s="31">
        <v>160.40653735420275</v>
      </c>
      <c r="C5" s="31">
        <v>162.73298100372872</v>
      </c>
      <c r="D5" s="31">
        <v>165.63336607388842</v>
      </c>
      <c r="E5" s="31">
        <v>169.24675571176329</v>
      </c>
      <c r="F5" s="31">
        <v>173.76108603381712</v>
      </c>
    </row>
    <row r="6" spans="1:6" x14ac:dyDescent="0.25">
      <c r="A6" s="30">
        <v>0.101908</v>
      </c>
      <c r="B6" s="31">
        <v>135.52639329363032</v>
      </c>
      <c r="C6" s="31">
        <v>136.35796633164568</v>
      </c>
      <c r="D6" s="31">
        <v>137.48364836145018</v>
      </c>
      <c r="E6" s="31">
        <v>138.9647904827385</v>
      </c>
      <c r="F6" s="31">
        <v>140.8810827381401</v>
      </c>
    </row>
    <row r="7" spans="1:6" x14ac:dyDescent="0.25">
      <c r="A7" s="30">
        <v>0.111908</v>
      </c>
      <c r="B7" s="31">
        <v>116.30546164505449</v>
      </c>
      <c r="C7" s="31">
        <v>116.25759049323835</v>
      </c>
      <c r="D7" s="32">
        <v>116.35986124411284</v>
      </c>
      <c r="E7" s="31">
        <v>116.63976972885891</v>
      </c>
      <c r="F7" s="31">
        <v>117.1319620962266</v>
      </c>
    </row>
    <row r="8" spans="1:6" x14ac:dyDescent="0.25">
      <c r="A8" s="30">
        <v>0.121908</v>
      </c>
      <c r="B8" s="31">
        <v>101.11866644490088</v>
      </c>
      <c r="C8" s="31">
        <v>100.5470983340356</v>
      </c>
      <c r="D8" s="31">
        <v>100.04866736997829</v>
      </c>
      <c r="E8" s="31">
        <v>99.63531002400595</v>
      </c>
      <c r="F8" s="31">
        <v>99.32170968857119</v>
      </c>
    </row>
    <row r="9" spans="1:6" x14ac:dyDescent="0.25">
      <c r="A9" s="30">
        <v>0.131908</v>
      </c>
      <c r="B9" s="31">
        <v>88.89993949829983</v>
      </c>
      <c r="C9" s="31">
        <v>88.01844078789809</v>
      </c>
      <c r="D9" s="31">
        <v>87.16792714437119</v>
      </c>
      <c r="E9" s="31">
        <v>86.35295930881054</v>
      </c>
      <c r="F9" s="31">
        <v>85.57903927402873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5219376000</v>
      </c>
      <c r="C5" s="18">
        <v>4206289000</v>
      </c>
      <c r="D5" s="18">
        <v>3318602000</v>
      </c>
      <c r="E5" s="18">
        <v>2619319000</v>
      </c>
      <c r="F5" s="6" t="s">
        <v>91</v>
      </c>
    </row>
    <row r="6" spans="1:6" x14ac:dyDescent="0.25">
      <c r="A6" t="s">
        <v>51</v>
      </c>
      <c r="B6" s="18">
        <v>1596864000</v>
      </c>
      <c r="C6" s="18">
        <v>1393735000</v>
      </c>
      <c r="D6" s="18">
        <v>885973000</v>
      </c>
      <c r="E6" s="18">
        <v>-280747000</v>
      </c>
      <c r="F6" s="6" t="s">
        <v>92</v>
      </c>
    </row>
    <row r="7" spans="1:6" x14ac:dyDescent="0.25">
      <c r="A7" t="s">
        <v>93</v>
      </c>
      <c r="B7" s="18">
        <v>529216000</v>
      </c>
      <c r="C7" s="18">
        <v>423498000</v>
      </c>
      <c r="D7" s="18">
        <v>307994000</v>
      </c>
      <c r="E7" s="18">
        <v>269724000</v>
      </c>
      <c r="F7" s="6" t="s">
        <v>94</v>
      </c>
    </row>
    <row r="8" spans="1:6" x14ac:dyDescent="0.25">
      <c r="A8" t="s">
        <v>95</v>
      </c>
      <c r="B8" s="18">
        <v>869875000</v>
      </c>
      <c r="C8" s="18">
        <v>1526076000</v>
      </c>
      <c r="D8" s="18">
        <v>1386775000</v>
      </c>
      <c r="E8" s="18">
        <v>903605000</v>
      </c>
      <c r="F8" s="6" t="s">
        <v>96</v>
      </c>
    </row>
    <row r="9" spans="1:6" x14ac:dyDescent="0.25">
      <c r="A9" t="s">
        <v>97</v>
      </c>
      <c r="B9" s="18">
        <v>89407000</v>
      </c>
      <c r="C9" s="18">
        <v>483120000</v>
      </c>
      <c r="D9" s="18">
        <v>526664000</v>
      </c>
      <c r="E9" s="18">
        <v>-998638000</v>
      </c>
      <c r="F9" s="6" t="s">
        <v>98</v>
      </c>
    </row>
    <row r="10" spans="1:6" x14ac:dyDescent="0.25">
      <c r="A10" t="s">
        <v>99</v>
      </c>
      <c r="B10" s="18">
        <v>655335000</v>
      </c>
      <c r="C10" s="18">
        <v>718802000</v>
      </c>
      <c r="D10" s="18">
        <v>624389000</v>
      </c>
      <c r="E10" s="18">
        <v>234131000</v>
      </c>
      <c r="F10" s="6" t="s">
        <v>100</v>
      </c>
    </row>
    <row r="11" spans="1:6" x14ac:dyDescent="0.25">
      <c r="A11" t="s">
        <v>101</v>
      </c>
      <c r="B11" s="18">
        <v>2855363000</v>
      </c>
      <c r="C11" s="18">
        <v>1792959000</v>
      </c>
      <c r="D11" s="18">
        <v>2102489000</v>
      </c>
      <c r="E11" s="18">
        <v>2577981000</v>
      </c>
      <c r="F11" s="6" t="s">
        <v>102</v>
      </c>
    </row>
    <row r="12" spans="1:6" x14ac:dyDescent="0.25">
      <c r="A12" t="s">
        <v>34</v>
      </c>
      <c r="B12" s="34">
        <v>107537000</v>
      </c>
      <c r="C12" s="34">
        <v>107525000</v>
      </c>
      <c r="D12" s="34">
        <v>107372000</v>
      </c>
      <c r="E12" s="34">
        <v>106551000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