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<sst xmlns="http://schemas.openxmlformats.org/spreadsheetml/2006/main" count="113" uniqueCount="101">
  <si>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Fortinet, Inc. (FTNT)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</si>
  <si>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</si>
  <si>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</si>
  <si>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</si>
  <si>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</si>
  <si>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</si>
  <si>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</si>
  <si>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</si>
  <si>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</si>
  <si>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</si>
  <si>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</si>
  <si>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</si>
  <si>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</si>
  <si>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</si>
  <si>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</si>
  <si>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</si>
  <si>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</si>
  <si>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</si>
  <si>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</si>
  <si>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</si>
  <si>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</si>
  <si>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</si>
  <si>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</si>
  <si>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</si>
  <si>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</si>
  <si>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</si>
  <si>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</si>
  <si>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</si>
  <si>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</si>
  <si>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</si>
  <si>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</si>
  <si>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</si>
  <si>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</si>
  <si>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</si>
  <si>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</si>
  <si>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</si>
  <si>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</si>
  <si>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</si>
  <si>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</si>
  <si>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</si>
  <si>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</si>
  <si>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</si>
  <si>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</si>
  <si>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</si>
  <si>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</si>
  <si>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</si>
  <si>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</si>
  <si>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</si>
  <si>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</si>
  <si>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</si>
  <si>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</si>
  <si>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</si>
  <si>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</si>
  <si>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</si>
  <si>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</si>
  <si>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</si>
  <si>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</si>
  <si>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</si>
  <si>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</si>
  <si>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</si>
  <si>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</si>
  <si>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</si>
  <si>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</si>
  <si>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</si>
  <si>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</si>
  <si>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</si>
  <si>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</si>
  <si>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</si>
  <si>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</si>
  <si>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</si>
  <si>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</si>
  <si>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</si>
  <si>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</si>
  <si>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</si>
  <si>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</si>
  <si>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</si>
  <si>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</si>
  <si>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</si>
  <si>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</si>
  <si>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</si>
  <si>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</si>
  <si>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</si>
  <si>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</si>
  <si>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</si>
  <si>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</si>
  <si>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</si>
  <si>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</si>
  <si>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</si>
  <si>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</si>
  <si>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</si>
  <si>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</si>
  <si>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</si>
  <si>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</si>
  <si>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</si>
  <si>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</si>
  <si>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</si>
  <si>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</si>
  <si>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</si>
  <si>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5.5% of revenue against depreciation of 2.2%. A perpetuity has to be a steady state, so the terminal year uses maintenance capex at depreciation and then charges the reinvestment terminal growth requires (g/ROIC of NOPAT). The bridge is shown under Terminal Value.</t>
  </si>
  <si>
    <t>Current EV/EBITDA of 54.6x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</si>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</sst>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0.15461947760091377</v>
      </c>
    </row>
    <row r="7" spans="1:2" x14ac:dyDescent="0.25">
      <c r="A7" t="s">
        <v>5</v>
      </c>
      <c r="B7" s="6">
        <v>0.2657105983170561</v>
      </c>
    </row>
    <row r="8" spans="1:2" x14ac:dyDescent="0.25">
      <c r="A8" t="s">
        <v>6</v>
      </c>
      <c r="B8" s="6">
        <v>0.12286815381296012</v>
      </c>
    </row>
    <row r="9" spans="1:2" x14ac:dyDescent="0.25">
      <c r="A9" t="s">
        <v>7</v>
      </c>
      <c r="B9" s="6">
        <v>0.021990213265462598</v>
      </c>
    </row>
    <row r="10" spans="1:2" x14ac:dyDescent="0.25">
      <c r="A10" t="s">
        <v>8</v>
      </c>
      <c r="B10" s="6">
        <v>0.05485020405457733</v>
      </c>
    </row>
    <row r="11" spans="1:2" x14ac:dyDescent="0.25">
      <c r="A11" t="s">
        <v>9</v>
      </c>
      <c r="B11" s="6">
        <v>-0.06612941455321167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1.03953</v>
      </c>
      <c r="C19" s="8" t="s">
        <v>19</v>
      </c>
    </row>
    <row r="20" spans="1:2" x14ac:dyDescent="0.25">
      <c r="A20" t="s">
        <v>20</v>
      </c>
      <c r="B20" s="10">
        <f>B17+B19*B18</f>
        <v>0.10715415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124613926912</v>
      </c>
    </row>
    <row r="23" spans="1:2" x14ac:dyDescent="0.25">
      <c r="A23" t="s">
        <v>24</v>
      </c>
      <c r="B23" s="11">
        <v>996300000</v>
      </c>
    </row>
    <row r="24" spans="1:2" x14ac:dyDescent="0.25">
      <c r="A24" t="s">
        <v>25</v>
      </c>
      <c r="B24" s="10">
        <f>B22/(B22+B23)</f>
        <v>0.9920683209919047</v>
      </c>
    </row>
    <row r="25" spans="1:2" x14ac:dyDescent="0.25">
      <c r="A25" t="s">
        <v>26</v>
      </c>
      <c r="B25" s="10">
        <f>1-B24</f>
        <v>0.007931679008095327</v>
      </c>
    </row>
    <row r="26" spans="1:2" x14ac:dyDescent="0.25">
      <c r="A26" t="s">
        <v>27</v>
      </c>
      <c r="B26" s="12">
        <f>B24*B20+B25*B21*(1-B8)</f>
        <v>0.10665195494783634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6799600000</v>
      </c>
      <c r="C29" s="8" t="s">
        <v>30</v>
      </c>
    </row>
    <row r="30" spans="1:2" x14ac:dyDescent="0.25">
      <c r="A30" t="s">
        <v>31</v>
      </c>
      <c r="B30" s="11">
        <v>-2586200000</v>
      </c>
    </row>
    <row r="31" spans="1:2" x14ac:dyDescent="0.25">
      <c r="A31" t="s">
        <v>32</v>
      </c>
      <c r="B31" s="13">
        <v>764600000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0.15461947760091377</v>
      </c>
      <c r="C5" s="10">
        <f>Assumptions!B6</f>
        <v>0.15461947760091377</v>
      </c>
      <c r="D5" s="10">
        <f>Assumptions!B6</f>
        <v>0.15461947760091377</v>
      </c>
      <c r="E5" s="10">
        <f>Assumptions!B6</f>
        <v>0.15461947760091377</v>
      </c>
      <c r="F5" s="10">
        <f>Assumptions!B6</f>
        <v>0.15461947760091377</v>
      </c>
    </row>
    <row r="6" spans="1:6" x14ac:dyDescent="0.25">
      <c r="A6" t="s">
        <v>43</v>
      </c>
      <c r="B6" s="18">
        <f>Assumptions!B29*(1+B5)</f>
        <v>7850950599.895173</v>
      </c>
      <c r="C6" s="18">
        <f>B6*(1+C5)</f>
        <v>9064860480.321545</v>
      </c>
      <c r="D6" s="18">
        <f>C6*(1+D5)</f>
        <v>10466464472.31403</v>
      </c>
      <c r="E6" s="18">
        <f>D6*(1+E5)</f>
        <v>12084783741.35175</v>
      </c>
      <c r="F6" s="18">
        <f>E6*(1+F5)</f>
        <v>13953326690.359573</v>
      </c>
    </row>
    <row r="7" spans="1:6" x14ac:dyDescent="0.25">
      <c r="A7" t="s">
        <v>5</v>
      </c>
      <c r="B7" s="10">
        <f>Assumptions!B7</f>
        <v>0.2657105983170561</v>
      </c>
      <c r="C7" s="10">
        <f>Assumptions!B7</f>
        <v>0.2657105983170561</v>
      </c>
      <c r="D7" s="10">
        <f>Assumptions!B7</f>
        <v>0.2657105983170561</v>
      </c>
      <c r="E7" s="10">
        <f>Assumptions!B7</f>
        <v>0.2657105983170561</v>
      </c>
      <c r="F7" s="10">
        <f>Assumptions!B7</f>
        <v>0.2657105983170561</v>
      </c>
    </row>
    <row r="8" spans="1:6" x14ac:dyDescent="0.25">
      <c r="A8" t="s">
        <v>44</v>
      </c>
      <c r="B8" s="18">
        <f>B6*B7</f>
        <v>2086080781.2557971</v>
      </c>
      <c r="C8" s="18">
        <f>C6*C7</f>
        <v>2408629501.886874</v>
      </c>
      <c r="D8" s="18">
        <f>D6*D7</f>
        <v>2781050537.202772</v>
      </c>
      <c r="E8" s="18">
        <f>E6*E7</f>
        <v>3211055118.4468055</v>
      </c>
      <c r="F8" s="18">
        <f>F6*F7</f>
        <v>3707546783.4087906</v>
      </c>
    </row>
    <row r="9" spans="1:6" x14ac:dyDescent="0.25">
      <c r="A9" t="s">
        <v>45</v>
      </c>
      <c r="B9" s="18">
        <f>B8*(1-Assumptions!B8)</f>
        <v>1829767886.9581997</v>
      </c>
      <c r="C9" s="18">
        <f>C8*(1-Assumptions!B8)</f>
        <v>2112685641.7706041</v>
      </c>
      <c r="D9" s="18">
        <f>D8*(1-Assumptions!B8)</f>
        <v>2439347992.0361266</v>
      </c>
      <c r="E9" s="18">
        <f>E8*(1-Assumptions!B8)</f>
        <v>2816518704.2515907</v>
      </c>
      <c r="F9" s="18">
        <f>F8*(1-Assumptions!B8)</f>
        <v>3252007354.956174</v>
      </c>
    </row>
    <row r="10" spans="1:6" x14ac:dyDescent="0.25">
      <c r="A10" t="s">
        <v>46</v>
      </c>
      <c r="B10" s="18">
        <f>B6*Assumptions!B9</f>
        <v>172644078.02830637</v>
      </c>
      <c r="C10" s="18">
        <f>C6*Assumptions!B9</f>
        <v>199338215.18393448</v>
      </c>
      <c r="D10" s="18">
        <f>D6*Assumptions!B9</f>
        <v>230159785.88157296</v>
      </c>
      <c r="E10" s="18">
        <f>E6*Assumptions!B9</f>
        <v>265746971.73931995</v>
      </c>
      <c r="F10" s="18">
        <f>F6*Assumptions!B9</f>
        <v>306836629.6836784</v>
      </c>
    </row>
    <row r="11" spans="1:6" x14ac:dyDescent="0.25">
      <c r="A11" t="s">
        <v>47</v>
      </c>
      <c r="B11" s="18">
        <f>-B6*Assumptions!B10</f>
        <v>-430626242.42665654</v>
      </c>
      <c r="C11" s="18">
        <f>-C6*Assumptions!B10</f>
        <v>-497209447.07191056</v>
      </c>
      <c r="D11" s="18">
        <f>-D6*Assumptions!B10</f>
        <v>-574087712.0364085</v>
      </c>
      <c r="E11" s="18">
        <f>-E6*Assumptions!B10</f>
        <v>-662852854.1685818</v>
      </c>
      <c r="F11" s="18">
        <f>-F6*Assumptions!B10</f>
        <v>-765342816.2064028</v>
      </c>
    </row>
    <row r="12" spans="1:6" x14ac:dyDescent="0.25">
      <c r="A12" t="s">
        <v>48</v>
      </c>
      <c r="B12" s="18">
        <f>-(B6-Assumptions!B29)*Assumptions!B11</f>
        <v>69525199.66123568</v>
      </c>
      <c r="C12" s="18">
        <f>-(C6-B6)*Assumptions!B11</f>
        <v>80275149.71295513</v>
      </c>
      <c r="D12" s="18">
        <f>-(D6-C6)*Assumptions!B11</f>
        <v>92687251.42590742</v>
      </c>
      <c r="E12" s="18">
        <f>-(E6-D6)*Assumptions!B11</f>
        <v>107018505.82164586</v>
      </c>
      <c r="F12" s="18">
        <f>-(F6-E6)*Assumptions!B11</f>
        <v>123565651.28541905</v>
      </c>
    </row>
    <row r="13" spans="1:6" x14ac:dyDescent="0.25">
      <c r="A13" s="19" t="s">
        <v>49</v>
      </c>
      <c r="B13" s="20">
        <f>B9+B10+B11+B12</f>
        <v>1641310922.221085</v>
      </c>
      <c r="C13" s="20">
        <f>C9+C10+C11+C12</f>
        <v>1895089559.5955834</v>
      </c>
      <c r="D13" s="20">
        <f>D9+D10+D11+D12</f>
        <v>2188107317.307199</v>
      </c>
      <c r="E13" s="20">
        <f>E9+E10+E11+E12</f>
        <v>2526431327.6439743</v>
      </c>
      <c r="F13" s="20">
        <f>F9+F10+F11+F12</f>
        <v>2917066819.7188687</v>
      </c>
    </row>
    <row r="14" spans="1:6" x14ac:dyDescent="0.25">
      <c r="A14" t="s">
        <v>50</v>
      </c>
      <c r="B14" s="21">
        <f>1/(1+Assumptions!$B$26)^(1-0.5*Assumptions!$B$32)</f>
        <v>0.9505926942651437</v>
      </c>
      <c r="C14" s="21">
        <f>1/(1+Assumptions!$B$26)^(2-0.5*Assumptions!$B$32)</f>
        <v>0.8589807210975842</v>
      </c>
      <c r="D14" s="21">
        <f>1/(1+Assumptions!$B$26)^(3-0.5*Assumptions!$B$32)</f>
        <v>0.7761977171386947</v>
      </c>
      <c r="E14" s="21">
        <f>1/(1+Assumptions!$B$26)^(4-0.5*Assumptions!$B$32)</f>
        <v>0.7013928034630199</v>
      </c>
      <c r="F14" s="21">
        <f>1/(1+Assumptions!$B$26)^(5-0.5*Assumptions!$B$32)</f>
        <v>0.6337971033504216</v>
      </c>
    </row>
    <row r="15" spans="1:6" x14ac:dyDescent="0.25">
      <c r="A15" s="19" t="s">
        <v>51</v>
      </c>
      <c r="B15" s="20">
        <f>B13*B14</f>
        <v>1560218171.680949</v>
      </c>
      <c r="C15" s="20">
        <f>C13*C14</f>
        <v>1627845396.4459174</v>
      </c>
      <c r="D15" s="20">
        <f>D13*D14</f>
        <v>1698403904.5483212</v>
      </c>
      <c r="E15" s="20">
        <f>E13*E14</f>
        <v>1772020751.6530066</v>
      </c>
      <c r="F15" s="20">
        <f>F13*F14</f>
        <v>1848828500.6174455</v>
      </c>
    </row>
    <row r="17" spans="1:2" x14ac:dyDescent="0.25">
      <c r="A17" s="22" t="s">
        <v>52</v>
      </c>
      <c r="B17" s="23">
        <f>SUM(B15:F15)</f>
        <v>8507316724.945641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2917066819.7188687</v>
      </c>
    </row>
    <row r="5" spans="1:2" x14ac:dyDescent="0.25">
      <c r="A5" t="s">
        <v>56</v>
      </c>
      <c r="B5" s="18">
        <f>IF(Assumptions!$B$33=0,B4,B4-Forecast!F11-Forecast!F10-Forecast!F12)</f>
        <v>3313729082.0797176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-138072045.08665493</v>
      </c>
    </row>
    <row r="8" spans="1:2" x14ac:dyDescent="0.25">
      <c r="A8" t="s">
        <v>59</v>
      </c>
      <c r="B8" s="18">
        <f>IF(OR(Assumptions!$B$33=0,Assumptions!B12&lt;=0),B5,MAX(B5+B7,0))</f>
        <v>3175657036.9930625</v>
      </c>
    </row>
    <row r="9" spans="1:2" x14ac:dyDescent="0.25">
      <c r="A9" t="s">
        <v>60</v>
      </c>
      <c r="B9" s="18">
        <f>B8*(1+Assumptions!B12)/(Assumptions!B26-Assumptions!B12)</f>
        <v>39864917686.262245</v>
      </c>
    </row>
    <row r="10" spans="1:2" x14ac:dyDescent="0.25">
      <c r="A10" t="s">
        <v>61</v>
      </c>
      <c r="B10" s="18">
        <f>B9/(1+Assumptions!B26)^(5-0.5*Assumptions!B32)</f>
        <v>25266269354.856003</v>
      </c>
    </row>
    <row r="11" spans="1:2" x14ac:dyDescent="0.25">
      <c r="A11" t="s">
        <v>62</v>
      </c>
      <c r="B11" s="18">
        <f>Forecast!B17+B10</f>
        <v>33773586079.801643</v>
      </c>
    </row>
    <row r="12" spans="1:2" x14ac:dyDescent="0.25">
      <c r="A12" t="s">
        <v>63</v>
      </c>
      <c r="B12" s="18">
        <f>-Assumptions!B30</f>
        <v>2586200000</v>
      </c>
    </row>
    <row r="13" spans="1:2" x14ac:dyDescent="0.25">
      <c r="A13" t="s">
        <v>64</v>
      </c>
      <c r="B13" s="18">
        <f>B11+B12</f>
        <v>36359786079.80164</v>
      </c>
    </row>
    <row r="14" spans="1:2" x14ac:dyDescent="0.25">
      <c r="A14" s="19" t="s">
        <v>65</v>
      </c>
      <c r="B14" s="24">
        <f>B13/Assumptions!B31</f>
        <v>47.55399696547429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4014383413.092469</v>
      </c>
    </row>
    <row r="18" spans="1:2" x14ac:dyDescent="0.25">
      <c r="A18" t="s">
        <v>60</v>
      </c>
      <c r="B18" s="18">
        <f>B17*Assumptions!B13</f>
        <v>80287668261.84938</v>
      </c>
    </row>
    <row r="19" spans="1:2" x14ac:dyDescent="0.25">
      <c r="A19" t="s">
        <v>61</v>
      </c>
      <c r="B19" s="18">
        <f>B18/(1+Assumptions!B26)^(5-0.5*Assumptions!B32)</f>
        <v>50886091579.11972</v>
      </c>
    </row>
    <row r="20" spans="1:2" x14ac:dyDescent="0.25">
      <c r="A20" t="s">
        <v>62</v>
      </c>
      <c r="B20" s="18">
        <f>Forecast!B17+B19</f>
        <v>59393408304.06536</v>
      </c>
    </row>
    <row r="21" spans="1:2" x14ac:dyDescent="0.25">
      <c r="A21" t="s">
        <v>63</v>
      </c>
      <c r="B21" s="18">
        <f>-Assumptions!B30</f>
        <v>2586200000</v>
      </c>
    </row>
    <row r="22" spans="1:2" x14ac:dyDescent="0.25">
      <c r="A22" t="s">
        <v>64</v>
      </c>
      <c r="B22" s="18">
        <f>B20+B21</f>
        <v>61979608304.06536</v>
      </c>
    </row>
    <row r="23" spans="1:2" x14ac:dyDescent="0.25">
      <c r="A23" s="19" t="s">
        <v>65</v>
      </c>
      <c r="B23" s="25">
        <f>B22/Assumptions!B31</f>
        <v>81.06148091036538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169.84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47.55399696547429</v>
      </c>
    </row>
    <row r="29" spans="1:2" x14ac:dyDescent="0.25">
      <c r="A29" s="19" t="s">
        <v>73</v>
      </c>
      <c r="B29" s="12">
        <f>B28/B26-1</f>
        <v>-0.7200070833403539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0.086652</v>
      </c>
      <c r="B5" s="31">
        <v>56.232846714087906</v>
      </c>
      <c r="C5" s="31">
        <v>59.16008066077072</v>
      </c>
      <c r="D5" s="31">
        <v>62.55808372831354</v>
      </c>
      <c r="E5" s="31">
        <v>66.55150353397444</v>
      </c>
      <c r="F5" s="31">
        <v>71.31325208642237</v>
      </c>
    </row>
    <row r="6" spans="1:6" x14ac:dyDescent="0.25">
      <c r="A6" s="30">
        <v>0.096652</v>
      </c>
      <c r="B6" s="31">
        <v>49.453814405039765</v>
      </c>
      <c r="C6" s="31">
        <v>51.58065567684928</v>
      </c>
      <c r="D6" s="31">
        <v>54.00099839741581</v>
      </c>
      <c r="E6" s="31">
        <v>56.780894924228356</v>
      </c>
      <c r="F6" s="31">
        <v>60.007825097254624</v>
      </c>
    </row>
    <row r="7" spans="1:6" x14ac:dyDescent="0.25">
      <c r="A7" s="30">
        <v>0.106652</v>
      </c>
      <c r="B7" s="31">
        <v>44.16826140990945</v>
      </c>
      <c r="C7" s="31">
        <v>45.76475603212088</v>
      </c>
      <c r="D7" s="32">
        <v>47.55397150802207</v>
      </c>
      <c r="E7" s="31">
        <v>49.57362130634638</v>
      </c>
      <c r="F7" s="31">
        <v>51.871945739106664</v>
      </c>
    </row>
    <row r="8" spans="1:6" x14ac:dyDescent="0.25">
      <c r="A8" s="30">
        <v>0.116652</v>
      </c>
      <c r="B8" s="31">
        <v>39.93477896892427</v>
      </c>
      <c r="C8" s="31">
        <v>41.16435849806034</v>
      </c>
      <c r="D8" s="31">
        <v>42.52569699914856</v>
      </c>
      <c r="E8" s="31">
        <v>44.04160276950793</v>
      </c>
      <c r="F8" s="31">
        <v>45.740470815250546</v>
      </c>
    </row>
    <row r="9" spans="1:6" x14ac:dyDescent="0.25">
      <c r="A9" s="30">
        <v>0.126652</v>
      </c>
      <c r="B9" s="31">
        <v>36.4701306450367</v>
      </c>
      <c r="C9" s="31">
        <v>37.437011172888795</v>
      </c>
      <c r="D9" s="31">
        <v>38.49693097099049</v>
      </c>
      <c r="E9" s="31">
        <v>39.66432935827722</v>
      </c>
      <c r="F9" s="31">
        <v>40.95679655468714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6799600000</v>
      </c>
      <c r="C5" s="18">
        <v>5955800000</v>
      </c>
      <c r="D5" s="18">
        <v>5304800000</v>
      </c>
      <c r="E5" s="18">
        <v>4417400000</v>
      </c>
      <c r="F5" s="8" t="s">
        <v>84</v>
      </c>
    </row>
    <row r="6" spans="1:6" x14ac:dyDescent="0.25">
      <c r="A6" t="s">
        <v>44</v>
      </c>
      <c r="B6" s="18">
        <v>2084700000</v>
      </c>
      <c r="C6" s="18">
        <v>1803400000</v>
      </c>
      <c r="D6" s="18">
        <v>1241100000</v>
      </c>
      <c r="E6" s="18">
        <v>969600000</v>
      </c>
      <c r="F6" s="8" t="s">
        <v>85</v>
      </c>
    </row>
    <row r="7" spans="1:6" x14ac:dyDescent="0.25">
      <c r="A7" t="s">
        <v>86</v>
      </c>
      <c r="B7" s="18">
        <v>152000000</v>
      </c>
      <c r="C7" s="18">
        <v>122800000</v>
      </c>
      <c r="D7" s="18">
        <v>113400000</v>
      </c>
      <c r="E7" s="18">
        <v>104300000</v>
      </c>
      <c r="F7" s="8" t="s">
        <v>87</v>
      </c>
    </row>
    <row r="8" spans="1:6" x14ac:dyDescent="0.25">
      <c r="A8" t="s">
        <v>88</v>
      </c>
      <c r="B8" s="18">
        <v>364800000</v>
      </c>
      <c r="C8" s="18">
        <v>378900000</v>
      </c>
      <c r="D8" s="18">
        <v>204100000</v>
      </c>
      <c r="E8" s="18">
        <v>281200000</v>
      </c>
      <c r="F8" s="8" t="s">
        <v>89</v>
      </c>
    </row>
    <row r="9" spans="1:6" x14ac:dyDescent="0.25">
      <c r="A9" t="s">
        <v>90</v>
      </c>
      <c r="B9" s="18">
        <v>-55800000</v>
      </c>
      <c r="C9" s="18">
        <v>20600000</v>
      </c>
      <c r="D9" s="18">
        <v>-126100000</v>
      </c>
      <c r="E9" s="18">
        <v>-233000000</v>
      </c>
      <c r="F9" s="8" t="s">
        <v>91</v>
      </c>
    </row>
    <row r="10" spans="1:6" x14ac:dyDescent="0.25">
      <c r="A10" t="s">
        <v>92</v>
      </c>
      <c r="B10" s="18">
        <v>996300000</v>
      </c>
      <c r="C10" s="18">
        <v>994300000</v>
      </c>
      <c r="D10" s="18">
        <v>992300000</v>
      </c>
      <c r="E10" s="18">
        <v>990400000</v>
      </c>
      <c r="F10" s="8" t="s">
        <v>93</v>
      </c>
    </row>
    <row r="11" spans="1:6" x14ac:dyDescent="0.25">
      <c r="A11" t="s">
        <v>94</v>
      </c>
      <c r="B11" s="18">
        <v>3582500000</v>
      </c>
      <c r="C11" s="18">
        <v>4066500000</v>
      </c>
      <c r="D11" s="18">
        <v>2440400000</v>
      </c>
      <c r="E11" s="18">
        <v>2211000000</v>
      </c>
      <c r="F11" s="8" t="s">
        <v>95</v>
      </c>
    </row>
    <row r="12" spans="1:6" x14ac:dyDescent="0.25">
      <c r="A12" t="s">
        <v>32</v>
      </c>
      <c r="B12" s="34">
        <v>764600000</v>
      </c>
      <c r="C12" s="34">
        <v>771900000</v>
      </c>
      <c r="D12" s="34">
        <v>788200000</v>
      </c>
      <c r="E12" s="34">
        <v>805300000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2026-09-19T01:05:15Z</dcterms:modified>
</cp:coreProperties>
</file>