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<sst xmlns="http://schemas.openxmlformats.org/spreadsheetml/2006/main" count="121" uniqueCount="108">
  <si>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Fortinet, Inc. (FTNT)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</si>
  <si>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</si>
  <si>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</si>
  <si>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</si>
  <si>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</si>
  <si>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</si>
  <si>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</si>
  <si>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</si>
  <si>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</si>
  <si>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</si>
  <si>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</si>
  <si>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</si>
  <si>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</si>
  <si>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</si>
  <si>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</si>
  <si>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</si>
  <si>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</si>
  <si>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</si>
  <si>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</si>
  <si>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</si>
  <si>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</si>
  <si>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</si>
  <si>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</si>
  <si>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</si>
  <si>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103.7x interest cover. Book interest / average debt was lower, at 2.0%.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</si>
  <si>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</si>
  <si>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</si>
  <si>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</si>
  <si>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</si>
  <si>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</si>
  <si>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</si>
  <si>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</si>
  <si>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</si>
  <si>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</si>
  <si>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</si>
  <si>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</si>
  <si>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</si>
  <si>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</si>
  <si>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</si>
  <si>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</si>
  <si>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</si>
  <si>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</si>
  <si>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</si>
  <si>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</si>
  <si>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</si>
  <si>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</si>
  <si>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</si>
  <si>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</si>
  <si>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</si>
  <si>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</si>
  <si>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</si>
  <si>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</si>
  <si>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</si>
  <si>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</si>
  <si>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</si>
  <si>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</si>
  <si>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</si>
  <si>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</si>
  <si>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</si>
  <si>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</si>
  <si>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</si>
  <si>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</si>
  <si>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</si>
  <si>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</si>
  <si>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</si>
  <si>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</si>
  <si>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</si>
  <si>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</si>
  <si>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</si>
  <si>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</si>
  <si>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</si>
  <si>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</si>
  <si>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</si>
  <si>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</si>
  <si>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</si>
  <si>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</si>
  <si>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</si>
  <si>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</si>
  <si>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</si>
  <si>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</si>
  <si>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</si>
  <si>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</si>
  <si>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</si>
  <si>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</si>
  <si>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</si>
  <si>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</si>
  <si>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</si>
  <si>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</si>
  <si>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</si>
  <si>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</si>
  <si>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</si>
  <si>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</si>
  <si>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</si>
  <si>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</si>
  <si>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</si>
  <si>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</si>
  <si>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</si>
  <si>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</si>
  <si>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</si>
  <si>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</si>
  <si>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</si>
  <si>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</si>
  <si>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</si>
  <si>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</si>
  <si>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</si>
  <si>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5.5% of revenue against depreciation of 2.2%.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</si>
  <si>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Current EV/EBITDA of 43.5x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</si>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</sst>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0.2021559856462145</v>
      </c>
    </row>
    <row r="7" spans="1:2" x14ac:dyDescent="0.25">
      <c r="A7" t="s">
        <v>4</v>
      </c>
      <c r="B7" s="5">
        <v>0.2657105983170561</v>
      </c>
    </row>
    <row r="8" spans="1:2" x14ac:dyDescent="0.25">
      <c r="A8" t="s">
        <v>5</v>
      </c>
      <c r="B8" s="5">
        <v>0.12286815381296012</v>
      </c>
    </row>
    <row r="9" spans="1:2" x14ac:dyDescent="0.25">
      <c r="A9" t="s">
        <v>6</v>
      </c>
      <c r="B9" s="5">
        <v>0.021990213265462598</v>
      </c>
    </row>
    <row r="10" spans="1:3" x14ac:dyDescent="0.25">
      <c r="A10" t="s">
        <v>7</v>
      </c>
      <c r="B10" s="5">
        <v>0.05485020405457733</v>
      </c>
      <c r="C10" s="6" t="s">
        <v>8</v>
      </c>
    </row>
    <row r="11" spans="1:2" x14ac:dyDescent="0.25">
      <c r="A11" t="s">
        <v>9</v>
      </c>
      <c r="B11" s="5">
        <v>0.2819752499136965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0.6</v>
      </c>
      <c r="C14" s="6" t="s">
        <v>13</v>
      </c>
    </row>
    <row r="15" spans="1:3" x14ac:dyDescent="0.25">
      <c r="A15" t="s">
        <v>14</v>
      </c>
      <c r="B15" s="5">
        <v>0.01694713824960677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1.0247899999999999</v>
      </c>
      <c r="C19" s="6" t="s">
        <v>21</v>
      </c>
    </row>
    <row r="20" spans="1:2" x14ac:dyDescent="0.25">
      <c r="A20" t="s">
        <v>22</v>
      </c>
      <c r="B20" s="9">
        <f>B17+B19*B18</f>
        <v>0.09228861699999999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99843760128</v>
      </c>
    </row>
    <row r="23" spans="1:2" x14ac:dyDescent="0.25">
      <c r="A23" t="s">
        <v>26</v>
      </c>
      <c r="B23" s="10">
        <v>996300000</v>
      </c>
    </row>
    <row r="24" spans="1:2" x14ac:dyDescent="0.25">
      <c r="A24" t="s">
        <v>27</v>
      </c>
      <c r="B24" s="9">
        <f>B22/(B22+B23)</f>
        <v>0.9901199979578021</v>
      </c>
    </row>
    <row r="25" spans="1:2" x14ac:dyDescent="0.25">
      <c r="A25" t="s">
        <v>28</v>
      </c>
      <c r="B25" s="9">
        <f>1-B24</f>
        <v>0.009880002042197855</v>
      </c>
    </row>
    <row r="26" spans="1:2" x14ac:dyDescent="0.25">
      <c r="A26" t="s">
        <v>29</v>
      </c>
      <c r="B26" s="11">
        <f>B24*B20+B25*B21*(1-B8)</f>
        <v>0.09183558672657753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6799600000</v>
      </c>
      <c r="C29" s="6" t="s">
        <v>32</v>
      </c>
    </row>
    <row r="30" spans="1:2" x14ac:dyDescent="0.25">
      <c r="A30" t="s">
        <v>33</v>
      </c>
      <c r="B30" s="10">
        <v>-2586200000</v>
      </c>
    </row>
    <row r="31" spans="1:2" x14ac:dyDescent="0.25">
      <c r="A31" t="s">
        <v>34</v>
      </c>
      <c r="B31" s="12">
        <v>764600000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0.2021559856462145</v>
      </c>
      <c r="C5" s="5">
        <v>0.11391732727035286</v>
      </c>
      <c r="D5" s="5">
        <v>0.10280266136155876</v>
      </c>
      <c r="E5" s="5">
        <v>0.09168799545276465</v>
      </c>
      <c r="F5" s="5">
        <v>0.08057332954397053</v>
      </c>
      <c r="G5" s="5">
        <v>0.06945866363517643</v>
      </c>
      <c r="H5" s="5">
        <v>0.058343997726382324</v>
      </c>
      <c r="I5" s="5">
        <v>0.047229331817588205</v>
      </c>
      <c r="J5" s="5">
        <v>0.0361146659087941</v>
      </c>
      <c r="K5" s="5">
        <v>0.024999999999999994</v>
      </c>
    </row>
    <row r="6" spans="1:11" x14ac:dyDescent="0.25">
      <c r="A6" t="s">
        <v>50</v>
      </c>
      <c r="B6" s="18">
        <f>Assumptions!B29*(1+B5)</f>
        <v>8174179840</v>
      </c>
      <c r="C6" s="18">
        <f>B6*(1+C5)</f>
        <v>9105360560</v>
      </c>
      <c r="D6" s="18">
        <f>C6*(1+D5)</f>
        <v>10041415858.224573</v>
      </c>
      <c r="E6" s="18">
        <f>D6*(1+E5)</f>
        <v>10962093149.772787</v>
      </c>
      <c r="F6" s="18">
        <f>E6*(1+F5)</f>
        <v>11845345493.621132</v>
      </c>
      <c r="G6" s="18">
        <f>F6*(1+G5)</f>
        <v>12668107361.905014</v>
      </c>
      <c r="H6" s="18">
        <f>G6*(1+H5)</f>
        <v>13407215389.025566</v>
      </c>
      <c r="I6" s="18">
        <f>H6*(1+I5)</f>
        <v>14040429213.38373</v>
      </c>
      <c r="J6" s="18">
        <f>I6*(1+J5)</f>
        <v>14547494623.641155</v>
      </c>
      <c r="K6" s="18">
        <f>J6*(1+K5)</f>
        <v>14911181989.232183</v>
      </c>
    </row>
    <row r="7" spans="1:11" x14ac:dyDescent="0.25">
      <c r="A7" t="s">
        <v>4</v>
      </c>
      <c r="B7" s="9">
        <f>Assumptions!B7</f>
        <v>0.2657105983170561</v>
      </c>
      <c r="C7" s="9">
        <f>Assumptions!B7</f>
        <v>0.2657105983170561</v>
      </c>
      <c r="D7" s="9">
        <f>Assumptions!B7</f>
        <v>0.2657105983170561</v>
      </c>
      <c r="E7" s="9">
        <f>Assumptions!B7</f>
        <v>0.2657105983170561</v>
      </c>
      <c r="F7" s="9">
        <f>Assumptions!B7</f>
        <v>0.2657105983170561</v>
      </c>
      <c r="G7" s="9">
        <f>Assumptions!B7</f>
        <v>0.2657105983170561</v>
      </c>
      <c r="H7" s="9">
        <f>Assumptions!B7</f>
        <v>0.2657105983170561</v>
      </c>
      <c r="I7" s="9">
        <f>Assumptions!B7</f>
        <v>0.2657105983170561</v>
      </c>
      <c r="J7" s="9">
        <f>Assumptions!B7</f>
        <v>0.2657105983170561</v>
      </c>
      <c r="K7" s="9">
        <f>Assumptions!B7</f>
        <v>0.2657105983170561</v>
      </c>
    </row>
    <row r="8" spans="1:11" x14ac:dyDescent="0.25">
      <c r="A8" t="s">
        <v>51</v>
      </c>
      <c r="B8" s="18">
        <f>B6*B7</f>
        <v>2171966216.037618</v>
      </c>
      <c r="C8" s="18">
        <f>C6*C7</f>
        <v>2419390802.2901254</v>
      </c>
      <c r="D8" s="18">
        <f>D6*D7</f>
        <v>2668110615.639227</v>
      </c>
      <c r="E8" s="18">
        <f>E6*E7</f>
        <v>2912744329.6334295</v>
      </c>
      <c r="F8" s="18">
        <f>F6*F7</f>
        <v>3147433838.3823156</v>
      </c>
      <c r="G8" s="18">
        <f>G6*G7</f>
        <v>3366050386.6764846</v>
      </c>
      <c r="H8" s="18">
        <f>H6*H7</f>
        <v>3562439222.7836256</v>
      </c>
      <c r="I8" s="18">
        <f>I6*I7</f>
        <v>3730690846.9164643</v>
      </c>
      <c r="J8" s="18">
        <f>J6*J7</f>
        <v>3865423500.4618487</v>
      </c>
      <c r="K8" s="18">
        <f>K6*K7</f>
        <v>3962059087.9733944</v>
      </c>
    </row>
    <row r="9" spans="1:11" x14ac:dyDescent="0.25">
      <c r="A9" t="s">
        <v>52</v>
      </c>
      <c r="B9" s="18">
        <f>B8*(1-Assumptions!B8)</f>
        <v>1905100736.928955</v>
      </c>
      <c r="C9" s="18">
        <f>C8*(1-Assumptions!B8)</f>
        <v>2122124721.0606813</v>
      </c>
      <c r="D9" s="18">
        <f>D8*(1-Assumptions!B8)</f>
        <v>2340284790.1268744</v>
      </c>
      <c r="E9" s="18">
        <f>E8*(1-Assumptions!B8)</f>
        <v>2554860811.3222017</v>
      </c>
      <c r="F9" s="18">
        <f>F8*(1-Assumptions!B8)</f>
        <v>2760714453.411842</v>
      </c>
      <c r="G9" s="18">
        <f>G8*(1-Assumptions!B8)</f>
        <v>2952469990.024144</v>
      </c>
      <c r="H9" s="18">
        <f>H8*(1-Assumptions!B8)</f>
        <v>3124728892.409325</v>
      </c>
      <c r="I9" s="18">
        <f>I8*(1-Assumptions!B8)</f>
        <v>3272307750.1089296</v>
      </c>
      <c r="J9" s="18">
        <f>J8*(1-Assumptions!B8)</f>
        <v>3390486051.2548714</v>
      </c>
      <c r="K9" s="18">
        <f>K8*(1-Assumptions!B8)</f>
        <v>3475248202.536243</v>
      </c>
    </row>
    <row r="10" spans="1:11" x14ac:dyDescent="0.25">
      <c r="A10" t="s">
        <v>53</v>
      </c>
      <c r="B10" s="18">
        <f>B6*Assumptions!B9</f>
        <v>179751957.95184493</v>
      </c>
      <c r="C10" s="18">
        <f>C6*Assumptions!B9</f>
        <v>200228820.57333195</v>
      </c>
      <c r="D10" s="18">
        <f>D6*Assumptions!B9</f>
        <v>220812876.2095565</v>
      </c>
      <c r="E10" s="18">
        <f>E6*Assumptions!B9</f>
        <v>241058766.1993702</v>
      </c>
      <c r="F10" s="18">
        <f>F6*Assumptions!B9</f>
        <v>260481673.60781503</v>
      </c>
      <c r="G10" s="18">
        <f>G6*Assumptions!B9</f>
        <v>278574382.55806804</v>
      </c>
      <c r="H10" s="18">
        <f>H6*Assumptions!B9</f>
        <v>294827525.7006643</v>
      </c>
      <c r="I10" s="18">
        <f>I6*Assumptions!B9</f>
        <v>308752032.7409395</v>
      </c>
      <c r="J10" s="18">
        <f>J6*Assumptions!B9</f>
        <v>319902509.25203955</v>
      </c>
      <c r="K10" s="18">
        <f>K6*Assumptions!B9</f>
        <v>327900071.9833405</v>
      </c>
    </row>
    <row r="11" spans="1:11" x14ac:dyDescent="0.25">
      <c r="A11" t="s">
        <v>54</v>
      </c>
      <c r="B11" s="18">
        <f>-B6*B19</f>
        <v>-448355432.20281225</v>
      </c>
      <c r="C11" s="18">
        <f>-C6*C19</f>
        <v>-471095217.21131235</v>
      </c>
      <c r="D11" s="18">
        <f>-D6*D19</f>
        <v>-488276409.77018714</v>
      </c>
      <c r="E11" s="18">
        <f>-E6*E19</f>
        <v>-498931719.4481716</v>
      </c>
      <c r="F11" s="18">
        <f>-F6*F19</f>
        <v>-502269873.2582497</v>
      </c>
      <c r="G11" s="18">
        <f>-G6*G19</f>
        <v>-497734015.85227555</v>
      </c>
      <c r="H11" s="18">
        <f>-H6*H19</f>
        <v>-485050869.7914603</v>
      </c>
      <c r="I11" s="18">
        <f>-I6*I19</f>
        <v>-464266013.41946834</v>
      </c>
      <c r="J11" s="18">
        <f>-J6*J19</f>
        <v>-435761364.9293968</v>
      </c>
      <c r="K11" s="18">
        <f>-K6*K19</f>
        <v>-400252152.08367014</v>
      </c>
    </row>
    <row r="12" spans="1:11" x14ac:dyDescent="0.25">
      <c r="A12" t="s">
        <v>55</v>
      </c>
      <c r="B12" s="18">
        <f>-(B6-Assumptions!B29)*Assumptions!B11</f>
        <v>-387597493.9103289</v>
      </c>
      <c r="C12" s="18">
        <f>-(C6-B6)*Assumptions!B11</f>
        <v>-262569916.23681584</v>
      </c>
      <c r="D12" s="18">
        <f>-(D6-C6)*Assumptions!B11</f>
        <v>-263944426.6499137</v>
      </c>
      <c r="E12" s="18">
        <f>-(E6-D6)*Assumptions!B11</f>
        <v>-259608209.37417284</v>
      </c>
      <c r="F12" s="18">
        <f>-(F6-E6)*Assumptions!B11</f>
        <v>-249055300.3934952</v>
      </c>
      <c r="G12" s="18">
        <f>-(G6-F6)*Assumptions!B11</f>
        <v>-231998483.4288075</v>
      </c>
      <c r="H12" s="18">
        <f>-(H6-G6)*Assumptions!B11</f>
        <v>-208410170.66053683</v>
      </c>
      <c r="I12" s="18">
        <f>-(I6-H6)*Assumptions!B11</f>
        <v>-178550626.37220076</v>
      </c>
      <c r="J12" s="18">
        <f>-(J6-I6)*Assumptions!B11</f>
        <v>-142979895.77992854</v>
      </c>
      <c r="K12" s="18">
        <f>-(K6-J6)*Assumptions!B11</f>
        <v>-102550835.80298409</v>
      </c>
    </row>
    <row r="13" spans="1:11" x14ac:dyDescent="0.25">
      <c r="A13" s="19" t="s">
        <v>56</v>
      </c>
      <c r="B13" s="20">
        <f>B9+B10+B11+B12</f>
        <v>1248899768.767659</v>
      </c>
      <c r="C13" s="20">
        <f>C9+C10+C11+C12</f>
        <v>1588688408.185885</v>
      </c>
      <c r="D13" s="20">
        <f>D9+D10+D11+D12</f>
        <v>1808876829.91633</v>
      </c>
      <c r="E13" s="20">
        <f>E9+E10+E11+E12</f>
        <v>2037379648.6992276</v>
      </c>
      <c r="F13" s="20">
        <f>F9+F10+F11+F12</f>
        <v>2269870953.3679123</v>
      </c>
      <c r="G13" s="20">
        <f>G9+G10+G11+G12</f>
        <v>2501311873.3011293</v>
      </c>
      <c r="H13" s="20">
        <f>H9+H10+H11+H12</f>
        <v>2726095377.6579924</v>
      </c>
      <c r="I13" s="20">
        <f>I9+I10+I11+I12</f>
        <v>2938243143.0582</v>
      </c>
      <c r="J13" s="20">
        <f>J9+J10+J11+J12</f>
        <v>3131647299.7975855</v>
      </c>
      <c r="K13" s="20">
        <f>K9+K10+K11+K12</f>
        <v>3300345286.6329293</v>
      </c>
    </row>
    <row r="14" spans="1:11" x14ac:dyDescent="0.25">
      <c r="A14" t="s">
        <v>57</v>
      </c>
      <c r="B14" s="21">
        <f>1/(1+Assumptions!$B$26)^(1-0.5*Assumptions!$B$32)</f>
        <v>0.9570208009449473</v>
      </c>
      <c r="C14" s="21">
        <f>1/(1+Assumptions!$B$26)^(2-0.5*Assumptions!$B$32)</f>
        <v>0.8765246458161187</v>
      </c>
      <c r="D14" s="21">
        <f>1/(1+Assumptions!$B$26)^(3-0.5*Assumptions!$B$32)</f>
        <v>0.8027991178085881</v>
      </c>
      <c r="E14" s="21">
        <f>1/(1+Assumptions!$B$26)^(4-0.5*Assumptions!$B$32)</f>
        <v>0.7352747314414372</v>
      </c>
      <c r="F14" s="21">
        <f>1/(1+Assumptions!$B$26)^(5-0.5*Assumptions!$B$32)</f>
        <v>0.6734299013332747</v>
      </c>
      <c r="G14" s="21">
        <f>1/(1+Assumptions!$B$26)^(6-0.5*Assumptions!$B$32)</f>
        <v>0.6167869132680306</v>
      </c>
      <c r="H14" s="21">
        <f>1/(1+Assumptions!$B$26)^(7-0.5*Assumptions!$B$32)</f>
        <v>0.5649082341391838</v>
      </c>
      <c r="I14" s="21">
        <f>1/(1+Assumptions!$B$26)^(8-0.5*Assumptions!$B$32)</f>
        <v>0.517393132268962</v>
      </c>
      <c r="J14" s="21">
        <f>1/(1+Assumptions!$B$26)^(9-0.5*Assumptions!$B$32)</f>
        <v>0.4738745819965016</v>
      </c>
      <c r="K14" s="21">
        <f>1/(1+Assumptions!$B$26)^(10-0.5*Assumptions!$B$32)</f>
        <v>0.43401642862477197</v>
      </c>
    </row>
    <row r="15" spans="1:11" x14ac:dyDescent="0.25">
      <c r="A15" s="19" t="s">
        <v>58</v>
      </c>
      <c r="B15" s="20">
        <f>B13*B14</f>
        <v>1195223057.0059845</v>
      </c>
      <c r="C15" s="20">
        <f>C13*C14</f>
        <v>1392524544.297306</v>
      </c>
      <c r="D15" s="20">
        <f>D13*D14</f>
        <v>1452164723.2812254</v>
      </c>
      <c r="E15" s="20">
        <f>E13*E14</f>
        <v>1498033774.0415742</v>
      </c>
      <c r="F15" s="20">
        <f>F13*F14</f>
        <v>1528598972.1658194</v>
      </c>
      <c r="G15" s="20">
        <f>G13*G14</f>
        <v>1542776429.4540787</v>
      </c>
      <c r="H15" s="20">
        <f>H13*H14</f>
        <v>1539993725.8877678</v>
      </c>
      <c r="I15" s="20">
        <f>I13*I14</f>
        <v>1520226823.154682</v>
      </c>
      <c r="J15" s="20">
        <f>J13*J14</f>
        <v>1484008055.1520538</v>
      </c>
      <c r="K15" s="20">
        <f>K13*K14</f>
        <v>1432404074.5330234</v>
      </c>
    </row>
    <row r="17" spans="1:2" x14ac:dyDescent="0.25">
      <c r="A17" s="22" t="s">
        <v>59</v>
      </c>
      <c r="B17" s="23">
        <f>SUM(B15:K15)</f>
        <v>14585954178.973515</v>
      </c>
    </row>
    <row r="19" spans="1:11" x14ac:dyDescent="0.25">
      <c r="A19" t="s">
        <v>7</v>
      </c>
      <c r="B19" s="9">
        <f>Assumptions!$B$10+($B$20-Assumptions!$B$10)*0/9</f>
        <v>0.05485020405457733</v>
      </c>
      <c r="C19" s="9">
        <f>Assumptions!$B$10+($B$20-Assumptions!$B$10)*1/9</f>
        <v>0.05173822761954551</v>
      </c>
      <c r="D19" s="9">
        <f>Assumptions!$B$10+($B$20-Assumptions!$B$10)*2/9</f>
        <v>0.048626251184513684</v>
      </c>
      <c r="E19" s="9">
        <f>Assumptions!$B$10+($B$20-Assumptions!$B$10)*3/9</f>
        <v>0.04551427474948186</v>
      </c>
      <c r="F19" s="9">
        <f>Assumptions!$B$10+($B$20-Assumptions!$B$10)*4/9</f>
        <v>0.04240229831445004</v>
      </c>
      <c r="G19" s="9">
        <f>Assumptions!$B$10+($B$20-Assumptions!$B$10)*5/9</f>
        <v>0.039290321879418215</v>
      </c>
      <c r="H19" s="9">
        <f>Assumptions!$B$10+($B$20-Assumptions!$B$10)*6/9</f>
        <v>0.036178345444386396</v>
      </c>
      <c r="I19" s="9">
        <f>Assumptions!$B$10+($B$20-Assumptions!$B$10)*7/9</f>
        <v>0.03306636900935457</v>
      </c>
      <c r="J19" s="9">
        <f>Assumptions!$B$10+($B$20-Assumptions!$B$10)*8/9</f>
        <v>0.029954392574322752</v>
      </c>
      <c r="K19" s="9">
        <f>Assumptions!$B$10+($B$20-Assumptions!$B$10)*9/9</f>
        <v>0.026842416139290927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0.026842416139290927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3300345286.6329293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3541206946.73054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0.04166666666666667</v>
      </c>
    </row>
    <row r="7" spans="1:2" x14ac:dyDescent="0.25">
      <c r="A7" t="s">
        <v>66</v>
      </c>
      <c r="B7" s="18">
        <f>-MAX(B5,0)*B6</f>
        <v>-147550289.44710585</v>
      </c>
    </row>
    <row r="8" spans="1:2" x14ac:dyDescent="0.25">
      <c r="A8" t="s">
        <v>67</v>
      </c>
      <c r="B8" s="18">
        <f>IF(OR(Assumptions!$B$33=0,Assumptions!B12&lt;=0),B5,MAX(B5+B7,0))</f>
        <v>3393656657.283434</v>
      </c>
    </row>
    <row r="9" spans="1:2" x14ac:dyDescent="0.25">
      <c r="A9" t="s">
        <v>68</v>
      </c>
      <c r="B9" s="18">
        <f>B8*(1+Assumptions!B12)/(Assumptions!B26-Assumptions!B12)</f>
        <v>52045597922.94419</v>
      </c>
    </row>
    <row r="10" spans="1:2" x14ac:dyDescent="0.25">
      <c r="A10" t="s">
        <v>69</v>
      </c>
      <c r="B10" s="18">
        <f>B9/(1+Assumptions!B26)^(10-0.5*Assumptions!B32)</f>
        <v>22588644536.15709</v>
      </c>
    </row>
    <row r="11" spans="1:2" x14ac:dyDescent="0.25">
      <c r="A11" t="s">
        <v>70</v>
      </c>
      <c r="B11" s="18">
        <f>Forecast!B17+B10</f>
        <v>37174598715.1306</v>
      </c>
    </row>
    <row r="12" spans="1:2" x14ac:dyDescent="0.25">
      <c r="A12" t="s">
        <v>71</v>
      </c>
      <c r="B12" s="18">
        <f>-Assumptions!B30</f>
        <v>2586200000</v>
      </c>
    </row>
    <row r="13" spans="1:2" x14ac:dyDescent="0.25">
      <c r="A13" t="s">
        <v>72</v>
      </c>
      <c r="B13" s="18">
        <f>B11+B12</f>
        <v>39760798715.1306</v>
      </c>
    </row>
    <row r="14" spans="1:2" x14ac:dyDescent="0.25">
      <c r="A14" s="19" t="s">
        <v>73</v>
      </c>
      <c r="B14" s="24">
        <f>B13/Assumptions!B31</f>
        <v>52.00209091699006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4289959159.9567347</v>
      </c>
    </row>
    <row r="18" spans="1:2" x14ac:dyDescent="0.25">
      <c r="A18" t="s">
        <v>68</v>
      </c>
      <c r="B18" s="18">
        <f>B17*Assumptions!B13</f>
        <v>85799183199.13469</v>
      </c>
    </row>
    <row r="19" spans="1:2" x14ac:dyDescent="0.25">
      <c r="A19" t="s">
        <v>69</v>
      </c>
      <c r="B19" s="18">
        <f>B18/(1+Assumptions!B26)^(10-0.5*Assumptions!B32)</f>
        <v>37238255071.01098</v>
      </c>
    </row>
    <row r="20" spans="1:2" x14ac:dyDescent="0.25">
      <c r="A20" t="s">
        <v>70</v>
      </c>
      <c r="B20" s="18">
        <f>Forecast!B17+B19</f>
        <v>51824209249.9845</v>
      </c>
    </row>
    <row r="21" spans="1:2" x14ac:dyDescent="0.25">
      <c r="A21" t="s">
        <v>71</v>
      </c>
      <c r="B21" s="18">
        <f>-Assumptions!B30</f>
        <v>2586200000</v>
      </c>
    </row>
    <row r="22" spans="1:2" x14ac:dyDescent="0.25">
      <c r="A22" t="s">
        <v>72</v>
      </c>
      <c r="B22" s="18">
        <f>B20+B21</f>
        <v>54410409249.9845</v>
      </c>
    </row>
    <row r="23" spans="1:2" x14ac:dyDescent="0.25">
      <c r="A23" s="19" t="s">
        <v>73</v>
      </c>
      <c r="B23" s="25">
        <f>B22/Assumptions!B31</f>
        <v>71.16192682446311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136.08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52.00209091699006</v>
      </c>
    </row>
    <row r="29" spans="1:2" x14ac:dyDescent="0.25">
      <c r="A29" s="19" t="s">
        <v>81</v>
      </c>
      <c r="B29" s="11">
        <f>B28/B26-1</f>
        <v>-0.6178564747428714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0.071836</v>
      </c>
      <c r="B5" s="31">
        <v>66.31204104490081</v>
      </c>
      <c r="C5" s="31">
        <v>70.06160565904969</v>
      </c>
      <c r="D5" s="31">
        <v>74.63034942757253</v>
      </c>
      <c r="E5" s="31">
        <v>80.31198320513066</v>
      </c>
      <c r="F5" s="31">
        <v>87.55968730814084</v>
      </c>
    </row>
    <row r="6" spans="1:6" x14ac:dyDescent="0.25">
      <c r="A6" s="30">
        <v>0.081836</v>
      </c>
      <c r="B6" s="31">
        <v>56.06754310340764</v>
      </c>
      <c r="C6" s="31">
        <v>58.46479641258544</v>
      </c>
      <c r="D6" s="31">
        <v>61.29831988386637</v>
      </c>
      <c r="E6" s="31">
        <v>64.69435883771396</v>
      </c>
      <c r="F6" s="31">
        <v>68.83306811737914</v>
      </c>
    </row>
    <row r="7" spans="1:6" x14ac:dyDescent="0.25">
      <c r="A7" s="30">
        <v>0.091836</v>
      </c>
      <c r="B7" s="31">
        <v>48.537904647931015</v>
      </c>
      <c r="C7" s="31">
        <v>50.1438685817745</v>
      </c>
      <c r="D7" s="32">
        <v>52.001765098846846</v>
      </c>
      <c r="E7" s="31">
        <v>54.172707284542234</v>
      </c>
      <c r="F7" s="31">
        <v>56.73931328632608</v>
      </c>
    </row>
    <row r="8" spans="1:6" x14ac:dyDescent="0.25">
      <c r="A8" s="30">
        <v>0.101836</v>
      </c>
      <c r="B8" s="31">
        <v>42.78196922486858</v>
      </c>
      <c r="C8" s="31">
        <v>43.89479582067156</v>
      </c>
      <c r="D8" s="31">
        <v>45.16204293781189</v>
      </c>
      <c r="E8" s="31">
        <v>46.61595496378416</v>
      </c>
      <c r="F8" s="31">
        <v>48.2984250943583</v>
      </c>
    </row>
    <row r="9" spans="1:6" x14ac:dyDescent="0.25">
      <c r="A9" s="30">
        <v>0.111836</v>
      </c>
      <c r="B9" s="31">
        <v>38.247597633193536</v>
      </c>
      <c r="C9" s="31">
        <v>39.038221444864185</v>
      </c>
      <c r="D9" s="31">
        <v>39.92792974792351</v>
      </c>
      <c r="E9" s="31">
        <v>40.934884077280714</v>
      </c>
      <c r="F9" s="31">
        <v>42.0819733182821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6799600000</v>
      </c>
      <c r="C5" s="18">
        <v>5955800000</v>
      </c>
      <c r="D5" s="18">
        <v>5304800000</v>
      </c>
      <c r="E5" s="18">
        <v>4417400000</v>
      </c>
      <c r="F5" s="6" t="s">
        <v>91</v>
      </c>
    </row>
    <row r="6" spans="1:6" x14ac:dyDescent="0.25">
      <c r="A6" t="s">
        <v>51</v>
      </c>
      <c r="B6" s="18">
        <v>2084700000</v>
      </c>
      <c r="C6" s="18">
        <v>1803400000</v>
      </c>
      <c r="D6" s="18">
        <v>1241100000</v>
      </c>
      <c r="E6" s="18">
        <v>969600000</v>
      </c>
      <c r="F6" s="6" t="s">
        <v>92</v>
      </c>
    </row>
    <row r="7" spans="1:6" x14ac:dyDescent="0.25">
      <c r="A7" t="s">
        <v>93</v>
      </c>
      <c r="B7" s="18">
        <v>152000000</v>
      </c>
      <c r="C7" s="18">
        <v>122800000</v>
      </c>
      <c r="D7" s="18">
        <v>113400000</v>
      </c>
      <c r="E7" s="18">
        <v>104300000</v>
      </c>
      <c r="F7" s="6" t="s">
        <v>94</v>
      </c>
    </row>
    <row r="8" spans="1:6" x14ac:dyDescent="0.25">
      <c r="A8" t="s">
        <v>95</v>
      </c>
      <c r="B8" s="18">
        <v>364800000</v>
      </c>
      <c r="C8" s="18">
        <v>378900000</v>
      </c>
      <c r="D8" s="18">
        <v>204100000</v>
      </c>
      <c r="E8" s="18">
        <v>281200000</v>
      </c>
      <c r="F8" s="6" t="s">
        <v>96</v>
      </c>
    </row>
    <row r="9" spans="1:6" x14ac:dyDescent="0.25">
      <c r="A9" t="s">
        <v>97</v>
      </c>
      <c r="B9" s="18">
        <v>-55800000</v>
      </c>
      <c r="C9" s="18">
        <v>20600000</v>
      </c>
      <c r="D9" s="18">
        <v>-126100000</v>
      </c>
      <c r="E9" s="18">
        <v>-233000000</v>
      </c>
      <c r="F9" s="6" t="s">
        <v>98</v>
      </c>
    </row>
    <row r="10" spans="1:6" x14ac:dyDescent="0.25">
      <c r="A10" t="s">
        <v>99</v>
      </c>
      <c r="B10" s="18">
        <v>996300000</v>
      </c>
      <c r="C10" s="18">
        <v>994300000</v>
      </c>
      <c r="D10" s="18">
        <v>992300000</v>
      </c>
      <c r="E10" s="18">
        <v>990400000</v>
      </c>
      <c r="F10" s="6" t="s">
        <v>100</v>
      </c>
    </row>
    <row r="11" spans="1:6" x14ac:dyDescent="0.25">
      <c r="A11" t="s">
        <v>101</v>
      </c>
      <c r="B11" s="18">
        <v>3582500000</v>
      </c>
      <c r="C11" s="18">
        <v>4066500000</v>
      </c>
      <c r="D11" s="18">
        <v>2440400000</v>
      </c>
      <c r="E11" s="18">
        <v>2211000000</v>
      </c>
      <c r="F11" s="6" t="s">
        <v>102</v>
      </c>
    </row>
    <row r="12" spans="1:6" x14ac:dyDescent="0.25">
      <c r="A12" t="s">
        <v>34</v>
      </c>
      <c r="B12" s="34">
        <v>764600000</v>
      </c>
      <c r="C12" s="34">
        <v>771900000</v>
      </c>
      <c r="D12" s="34">
        <v>788200000</v>
      </c>
      <c r="E12" s="34">
        <v>805300000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7" ht="38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