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<sst xmlns="http://schemas.openxmlformats.org/spreadsheetml/2006/main" count="115" uniqueCount="103">
  <si>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Fortis Inc. (FTS.TO)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</si>
  <si>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</si>
  <si>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</si>
  <si>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</si>
  <si>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</si>
  <si>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</si>
  <si>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</si>
  <si>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</si>
  <si>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</si>
  <si>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</si>
  <si>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</si>
  <si>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</si>
  <si>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</si>
  <si>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</si>
  <si>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</si>
  <si>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</si>
  <si>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</si>
  <si>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</si>
  <si>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</si>
  <si>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</si>
  <si>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</si>
  <si>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</si>
  <si>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</si>
  <si>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</si>
  <si>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</si>
  <si>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</si>
  <si>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</si>
  <si>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</si>
  <si>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</si>
  <si>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</si>
  <si>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</si>
  <si>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</si>
  <si>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</si>
  <si>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</si>
  <si>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</si>
  <si>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</si>
  <si>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</si>
  <si>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</si>
  <si>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</si>
  <si>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</si>
  <si>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</si>
  <si>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</si>
  <si>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</si>
  <si>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</si>
  <si>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</si>
  <si>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</si>
  <si>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</si>
  <si>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</si>
  <si>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</si>
  <si>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</si>
  <si>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</si>
  <si>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</si>
  <si>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</si>
  <si>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</si>
  <si>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</si>
  <si>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</si>
  <si>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</si>
  <si>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</si>
  <si>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</si>
  <si>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</si>
  <si>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</si>
  <si>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</si>
  <si>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</si>
  <si>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</si>
  <si>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</si>
  <si>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</si>
  <si>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</si>
  <si>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</si>
  <si>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</si>
  <si>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</si>
  <si>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</si>
  <si>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</si>
  <si>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</si>
  <si>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</si>
  <si>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</si>
  <si>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</si>
  <si>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</si>
  <si>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</si>
  <si>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</si>
  <si>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</si>
  <si>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</si>
  <si>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</si>
  <si>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</si>
  <si>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</si>
  <si>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</si>
  <si>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</si>
  <si>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</si>
  <si>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</si>
  <si>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</si>
  <si>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</si>
  <si>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</si>
  <si>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</si>
  <si>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</si>
  <si>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</si>
  <si>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</si>
  <si>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</si>
  <si>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</si>
  <si>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</si>
  <si>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</si>
  <si>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</si>
  <si>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41.9% of revenue against depreciation of 16.0%.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</si>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</sst>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0.03292273225932019</v>
      </c>
    </row>
    <row r="7" spans="1:2" x14ac:dyDescent="0.25">
      <c r="A7" t="s">
        <v>5</v>
      </c>
      <c r="B7" s="6">
        <v>0.27222400127588087</v>
      </c>
    </row>
    <row r="8" spans="1:2" x14ac:dyDescent="0.25">
      <c r="A8" t="s">
        <v>6</v>
      </c>
      <c r="B8" s="6">
        <v>0.16361914038294526</v>
      </c>
    </row>
    <row r="9" spans="1:2" x14ac:dyDescent="0.25">
      <c r="A9" t="s">
        <v>7</v>
      </c>
      <c r="B9" s="6">
        <v>0.1603657921624399</v>
      </c>
    </row>
    <row r="10" spans="1:2" x14ac:dyDescent="0.25">
      <c r="A10" t="s">
        <v>8</v>
      </c>
      <c r="B10" s="6">
        <v>0.41941225674774746</v>
      </c>
    </row>
    <row r="11" spans="1:2" x14ac:dyDescent="0.25">
      <c r="A11" t="s">
        <v>9</v>
      </c>
      <c r="B11" s="6">
        <v>0.3818565400843882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13.159488611281311</v>
      </c>
    </row>
    <row r="14" spans="1:3" x14ac:dyDescent="0.25">
      <c r="A14" t="s">
        <v>12</v>
      </c>
      <c r="B14" s="6">
        <v>0.05211539536871715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0.60738</v>
      </c>
      <c r="C19" s="8" t="s">
        <v>19</v>
      </c>
    </row>
    <row r="20" spans="1:2" x14ac:dyDescent="0.25">
      <c r="A20" t="s">
        <v>20</v>
      </c>
      <c r="B20" s="10">
        <f>B17+B19*B18</f>
        <v>0.0664059</v>
      </c>
    </row>
    <row r="21" spans="1:3" x14ac:dyDescent="0.25">
      <c r="A21" t="s">
        <v>21</v>
      </c>
      <c r="B21" s="6">
        <v>0.04323217550274223</v>
      </c>
      <c r="C21" s="8" t="s">
        <v>22</v>
      </c>
    </row>
    <row r="22" spans="1:2" x14ac:dyDescent="0.25">
      <c r="A22" t="s">
        <v>23</v>
      </c>
      <c r="B22" s="11">
        <v>38716002304</v>
      </c>
    </row>
    <row r="23" spans="1:2" x14ac:dyDescent="0.25">
      <c r="A23" t="s">
        <v>24</v>
      </c>
      <c r="B23" s="11">
        <v>34673000000</v>
      </c>
    </row>
    <row r="24" spans="1:2" x14ac:dyDescent="0.25">
      <c r="A24" t="s">
        <v>25</v>
      </c>
      <c r="B24" s="10">
        <f>B22/(B22+B23)</f>
        <v>0.5275450147642874</v>
      </c>
    </row>
    <row r="25" spans="1:2" x14ac:dyDescent="0.25">
      <c r="A25" t="s">
        <v>26</v>
      </c>
      <c r="B25" s="10">
        <f>1-B24</f>
        <v>0.4724549852357126</v>
      </c>
    </row>
    <row r="26" spans="1:2" x14ac:dyDescent="0.25">
      <c r="A26" t="s">
        <v>27</v>
      </c>
      <c r="B26" s="12">
        <f>B24*B20+B25*B21*(1-B8)</f>
        <v>0.05211539536871715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12170000000</v>
      </c>
      <c r="C29" s="8" t="s">
        <v>30</v>
      </c>
    </row>
    <row r="30" spans="1:2" x14ac:dyDescent="0.25">
      <c r="A30" t="s">
        <v>31</v>
      </c>
      <c r="B30" s="11">
        <v>34306000000</v>
      </c>
    </row>
    <row r="31" spans="1:2" x14ac:dyDescent="0.25">
      <c r="A31" t="s">
        <v>32</v>
      </c>
      <c r="B31" s="13">
        <v>503700000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0.03292273225932019</v>
      </c>
      <c r="C5" s="10">
        <f>Assumptions!B6</f>
        <v>0.03292273225932019</v>
      </c>
      <c r="D5" s="10">
        <f>Assumptions!B6</f>
        <v>0.03292273225932019</v>
      </c>
      <c r="E5" s="10">
        <f>Assumptions!B6</f>
        <v>0.03292273225932019</v>
      </c>
      <c r="F5" s="10">
        <f>Assumptions!B6</f>
        <v>0.03292273225932019</v>
      </c>
    </row>
    <row r="6" spans="1:6" x14ac:dyDescent="0.25">
      <c r="A6" t="s">
        <v>43</v>
      </c>
      <c r="B6" s="18">
        <f>Assumptions!B29*(1+B5)</f>
        <v>12570669651.595926</v>
      </c>
      <c r="C6" s="18">
        <f>B6*(1+C5)</f>
        <v>12984530442.855782</v>
      </c>
      <c r="D6" s="18">
        <f>C6*(1+D5)</f>
        <v>13412016662.138914</v>
      </c>
      <c r="E6" s="18">
        <f>D6*(1+E5)</f>
        <v>13853576895.764055</v>
      </c>
      <c r="F6" s="18">
        <f>E6*(1+F5)</f>
        <v>14309674498.7372</v>
      </c>
    </row>
    <row r="7" spans="1:6" x14ac:dyDescent="0.25">
      <c r="A7" t="s">
        <v>5</v>
      </c>
      <c r="B7" s="10">
        <f>Assumptions!B7</f>
        <v>0.27222400127588087</v>
      </c>
      <c r="C7" s="10">
        <f>Assumptions!B7</f>
        <v>0.27222400127588087</v>
      </c>
      <c r="D7" s="10">
        <f>Assumptions!B7</f>
        <v>0.27222400127588087</v>
      </c>
      <c r="E7" s="10">
        <f>Assumptions!B7</f>
        <v>0.27222400127588087</v>
      </c>
      <c r="F7" s="10">
        <f>Assumptions!B7</f>
        <v>0.27222400127588087</v>
      </c>
    </row>
    <row r="8" spans="1:6" x14ac:dyDescent="0.25">
      <c r="A8" t="s">
        <v>44</v>
      </c>
      <c r="B8" s="18">
        <f>B6*B7</f>
        <v>3422037991.2747264</v>
      </c>
      <c r="C8" s="18">
        <f>C6*C7</f>
        <v>3534700831.842686</v>
      </c>
      <c r="D8" s="18">
        <f>D6*D7</f>
        <v>3651072840.946239</v>
      </c>
      <c r="E8" s="18">
        <f>E6*E7</f>
        <v>3771276134.547988</v>
      </c>
      <c r="F8" s="18">
        <f>F6*F7</f>
        <v>3895436849.0016756</v>
      </c>
    </row>
    <row r="9" spans="1:6" x14ac:dyDescent="0.25">
      <c r="A9" t="s">
        <v>45</v>
      </c>
      <c r="B9" s="18">
        <f>B8*(1-Assumptions!B8)</f>
        <v>2862127076.784575</v>
      </c>
      <c r="C9" s="18">
        <f>C8*(1-Assumptions!B8)</f>
        <v>2956356120.2257047</v>
      </c>
      <c r="D9" s="18">
        <f>D8*(1-Assumptions!B8)</f>
        <v>3053687441.235098</v>
      </c>
      <c r="E9" s="18">
        <f>E8*(1-Assumptions!B8)</f>
        <v>3154223175.2665296</v>
      </c>
      <c r="F9" s="18">
        <f>F8*(1-Assumptions!B8)</f>
        <v>3258068820.3519726</v>
      </c>
    </row>
    <row r="10" spans="1:6" x14ac:dyDescent="0.25">
      <c r="A10" t="s">
        <v>46</v>
      </c>
      <c r="B10" s="18">
        <f>B6*Assumptions!B9</f>
        <v>2015905396.6905231</v>
      </c>
      <c r="C10" s="18">
        <f>C6*Assumptions!B9</f>
        <v>2082274510.325884</v>
      </c>
      <c r="D10" s="18">
        <f>D6*Assumptions!B9</f>
        <v>2150828676.51975</v>
      </c>
      <c r="E10" s="18">
        <f>E6*Assumptions!B9</f>
        <v>2221639833.1724777</v>
      </c>
      <c r="F10" s="18">
        <f>F6*Assumptions!B9</f>
        <v>2294782286.5766563</v>
      </c>
    </row>
    <row r="11" spans="1:6" x14ac:dyDescent="0.25">
      <c r="A11" t="s">
        <v>47</v>
      </c>
      <c r="B11" s="18">
        <f>-B6*Assumptions!B10</f>
        <v>-5272292927.406268</v>
      </c>
      <c r="C11" s="18">
        <f>-C6*Assumptions!B10</f>
        <v>-5445871215.847972</v>
      </c>
      <c r="D11" s="18">
        <f>-D6*Assumptions!B10</f>
        <v>-5625164175.806073</v>
      </c>
      <c r="E11" s="18">
        <f>-E6*Assumptions!B10</f>
        <v>-5810359949.8808565</v>
      </c>
      <c r="F11" s="18">
        <f>-F6*Assumptions!B10</f>
        <v>-6001652874.841061</v>
      </c>
    </row>
    <row r="12" spans="1:6" x14ac:dyDescent="0.25">
      <c r="A12" t="s">
        <v>48</v>
      </c>
      <c r="B12" s="18">
        <f>-(B6-Assumptions!B29)*Assumptions!B11</f>
        <v>-152998326.87523767</v>
      </c>
      <c r="C12" s="18">
        <f>-(C6-B6)*Assumptions!B11</f>
        <v>-158035449.82707554</v>
      </c>
      <c r="D12" s="18">
        <f>-(D6-C6)*Assumptions!B11</f>
        <v>-163238408.62921306</v>
      </c>
      <c r="E12" s="18">
        <f>-(E6-D6)*Assumptions!B11</f>
        <v>-168612663.05095053</v>
      </c>
      <c r="F12" s="18">
        <f>-(F6-E6)*Assumptions!B11</f>
        <v>-174163852.61210793</v>
      </c>
    </row>
    <row r="13" spans="1:6" x14ac:dyDescent="0.25">
      <c r="A13" s="19" t="s">
        <v>49</v>
      </c>
      <c r="B13" s="20">
        <f>B9+B10+B11+B12</f>
        <v>-547258780.8064082</v>
      </c>
      <c r="C13" s="20">
        <f>C9+C10+C11+C12</f>
        <v>-565276035.1234584</v>
      </c>
      <c r="D13" s="20">
        <f>D9+D10+D11+D12</f>
        <v>-583886466.6804378</v>
      </c>
      <c r="E13" s="20">
        <f>E9+E10+E11+E12</f>
        <v>-603109604.4928002</v>
      </c>
      <c r="F13" s="20">
        <f>F9+F10+F11+F12</f>
        <v>-622965620.5245397</v>
      </c>
    </row>
    <row r="14" spans="1:6" x14ac:dyDescent="0.25">
      <c r="A14" t="s">
        <v>50</v>
      </c>
      <c r="B14" s="21">
        <f>1/(1+Assumptions!$B$26)^(1-0.5*Assumptions!$B$32)</f>
        <v>0.9749185013299879</v>
      </c>
      <c r="C14" s="21">
        <f>1/(1+Assumptions!$B$26)^(2-0.5*Assumptions!$B$32)</f>
        <v>0.9266269704078655</v>
      </c>
      <c r="D14" s="21">
        <f>1/(1+Assumptions!$B$26)^(3-0.5*Assumptions!$B$32)</f>
        <v>0.8807275081105777</v>
      </c>
      <c r="E14" s="21">
        <f>1/(1+Assumptions!$B$26)^(4-0.5*Assumptions!$B$32)</f>
        <v>0.837101625912359</v>
      </c>
      <c r="F14" s="21">
        <f>1/(1+Assumptions!$B$26)^(5-0.5*Assumptions!$B$32)</f>
        <v>0.7956367044880985</v>
      </c>
    </row>
    <row r="15" spans="1:6" x14ac:dyDescent="0.25">
      <c r="A15" s="19" t="s">
        <v>51</v>
      </c>
      <c r="B15" s="20">
        <f>B13*B14</f>
        <v>-533532710.4234598</v>
      </c>
      <c r="C15" s="20">
        <f>C13*C14</f>
        <v>-523800019.87062037</v>
      </c>
      <c r="D15" s="20">
        <f>D13*D14</f>
        <v>-514244872.8189518</v>
      </c>
      <c r="E15" s="20">
        <f>E13*E14</f>
        <v>-504864030.5242829</v>
      </c>
      <c r="F15" s="20">
        <f>F13*F14</f>
        <v>-495654313.3235281</v>
      </c>
    </row>
    <row r="17" spans="1:2" x14ac:dyDescent="0.25">
      <c r="A17" s="22" t="s">
        <v>52</v>
      </c>
      <c r="B17" s="23">
        <f>SUM(B15:F15)</f>
        <v>-2572095946.960843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-622965620.5245397</v>
      </c>
    </row>
    <row r="5" spans="1:2" x14ac:dyDescent="0.25">
      <c r="A5" t="s">
        <v>56</v>
      </c>
      <c r="B5" s="18">
        <f>IF(Assumptions!$B$33=0,B4,B4-Forecast!F11-Forecast!F10-Forecast!F12)</f>
        <v>3495486133.079975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0.4797046980671384</v>
      </c>
    </row>
    <row r="7" spans="1:2" x14ac:dyDescent="0.25">
      <c r="A7" t="s">
        <v>58</v>
      </c>
      <c r="B7" s="18">
        <f>-MAX(Forecast!F9,0)*B6</f>
        <v>-1676801120.0669985</v>
      </c>
    </row>
    <row r="8" spans="1:2" x14ac:dyDescent="0.25">
      <c r="A8" t="s">
        <v>59</v>
      </c>
      <c r="B8" s="18">
        <f>IF(OR(Assumptions!$B$33=0,Assumptions!B12&lt;=0),B5,MAX(B5+B7,0))</f>
        <v>1818685013.0129766</v>
      </c>
    </row>
    <row r="9" spans="1:2" x14ac:dyDescent="0.25">
      <c r="A9" t="s">
        <v>60</v>
      </c>
      <c r="B9" s="18">
        <f>B8*(1+Assumptions!B12)/(Assumptions!B26-Assumptions!B12)</f>
        <v>68748845922.74693</v>
      </c>
    </row>
    <row r="10" spans="1:2" x14ac:dyDescent="0.25">
      <c r="A10" t="s">
        <v>61</v>
      </c>
      <c r="B10" s="18">
        <f>B9/(1+Assumptions!B26)^(5-0.5*Assumptions!B32)</f>
        <v>54699105207.33442</v>
      </c>
    </row>
    <row r="11" spans="1:2" x14ac:dyDescent="0.25">
      <c r="A11" t="s">
        <v>62</v>
      </c>
      <c r="B11" s="18">
        <f>Forecast!B17+B10</f>
        <v>52127009260.37357</v>
      </c>
    </row>
    <row r="12" spans="1:2" x14ac:dyDescent="0.25">
      <c r="A12" t="s">
        <v>63</v>
      </c>
      <c r="B12" s="18">
        <f>-Assumptions!B30</f>
        <v>-34306000000</v>
      </c>
    </row>
    <row r="13" spans="1:2" x14ac:dyDescent="0.25">
      <c r="A13" t="s">
        <v>64</v>
      </c>
      <c r="B13" s="18">
        <f>B11+B12</f>
        <v>17821009260.373573</v>
      </c>
    </row>
    <row r="14" spans="1:2" x14ac:dyDescent="0.25">
      <c r="A14" s="19" t="s">
        <v>65</v>
      </c>
      <c r="B14" s="24">
        <f>B13/Assumptions!B31</f>
        <v>35.380205003719624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6190219135.578332</v>
      </c>
    </row>
    <row r="18" spans="1:2" x14ac:dyDescent="0.25">
      <c r="A18" t="s">
        <v>60</v>
      </c>
      <c r="B18" s="18">
        <f>B17*Assumptions!B13</f>
        <v>81460118215.9787</v>
      </c>
    </row>
    <row r="19" spans="1:2" x14ac:dyDescent="0.25">
      <c r="A19" t="s">
        <v>61</v>
      </c>
      <c r="B19" s="18">
        <f>B18/(1+Assumptions!B26)^(5-0.5*Assumptions!B32)</f>
        <v>64812660004.57222</v>
      </c>
    </row>
    <row r="20" spans="1:2" x14ac:dyDescent="0.25">
      <c r="A20" t="s">
        <v>62</v>
      </c>
      <c r="B20" s="18">
        <f>Forecast!B17+B19</f>
        <v>62240564057.611374</v>
      </c>
    </row>
    <row r="21" spans="1:2" x14ac:dyDescent="0.25">
      <c r="A21" t="s">
        <v>63</v>
      </c>
      <c r="B21" s="18">
        <f>-Assumptions!B30</f>
        <v>-34306000000</v>
      </c>
    </row>
    <row r="22" spans="1:2" x14ac:dyDescent="0.25">
      <c r="A22" t="s">
        <v>64</v>
      </c>
      <c r="B22" s="18">
        <f>B20+B21</f>
        <v>27934564057.611374</v>
      </c>
    </row>
    <row r="23" spans="1:2" x14ac:dyDescent="0.25">
      <c r="A23" s="19" t="s">
        <v>65</v>
      </c>
      <c r="B23" s="25">
        <f>B22/Assumptions!B31</f>
        <v>55.45873348741587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75.78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35.380205003719624</v>
      </c>
    </row>
    <row r="29" spans="1:2" x14ac:dyDescent="0.25">
      <c r="A29" s="19" t="s">
        <v>73</v>
      </c>
      <c r="B29" s="12">
        <f>B28/B26-1</f>
        <v>-0.5331194905816887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0.032115</v>
      </c>
      <c r="B5" s="31">
        <v>177.83582856782107</v>
      </c>
      <c r="C5" s="31">
        <v>233.28653472306493</v>
      </c>
      <c r="D5" s="31">
        <v>365.83729378668073</v>
      </c>
      <c r="E5" s="31">
        <v>1122.2969916336456</v>
      </c>
      <c r="F5" s="31" t="s">
        <v>76</v>
      </c>
    </row>
    <row r="6" spans="1:6" x14ac:dyDescent="0.25">
      <c r="A6" s="30">
        <v>0.042115</v>
      </c>
      <c r="B6" s="31">
        <v>78.54852177880089</v>
      </c>
      <c r="C6" s="31">
        <v>87.57140638307206</v>
      </c>
      <c r="D6" s="31">
        <v>101.53386991873785</v>
      </c>
      <c r="E6" s="31">
        <v>126.55177569334423</v>
      </c>
      <c r="F6" s="31">
        <v>185.93245098505122</v>
      </c>
    </row>
    <row r="7" spans="1:6" x14ac:dyDescent="0.25">
      <c r="A7" s="30">
        <v>0.052115</v>
      </c>
      <c r="B7" s="31">
        <v>34.32173832306131</v>
      </c>
      <c r="C7" s="31">
        <v>34.85147304396983</v>
      </c>
      <c r="D7" s="32">
        <v>35.381207764878326</v>
      </c>
      <c r="E7" s="31">
        <v>35.910942485786876</v>
      </c>
      <c r="F7" s="31">
        <v>36.440677206695355</v>
      </c>
    </row>
    <row r="8" spans="1:6" x14ac:dyDescent="0.25">
      <c r="A8" s="30">
        <v>0.062115</v>
      </c>
      <c r="B8" s="31">
        <v>13.366339943119085</v>
      </c>
      <c r="C8" s="31">
        <v>13.792268939588212</v>
      </c>
      <c r="D8" s="31">
        <v>14.21819793605731</v>
      </c>
      <c r="E8" s="31">
        <v>14.644126932526438</v>
      </c>
      <c r="F8" s="31">
        <v>15.070055928995535</v>
      </c>
    </row>
    <row r="9" spans="1:6" x14ac:dyDescent="0.25">
      <c r="A9" s="30">
        <v>0.072115</v>
      </c>
      <c r="B9" s="31">
        <v>-1.5860588362490404</v>
      </c>
      <c r="C9" s="31">
        <v>-1.2343414363575265</v>
      </c>
      <c r="D9" s="31">
        <v>-0.8826240364660733</v>
      </c>
      <c r="E9" s="31">
        <v>-0.5309066365745746</v>
      </c>
      <c r="F9" s="31">
        <v>-0.17918923668310618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12170000000</v>
      </c>
      <c r="C5" s="18">
        <v>11508000000</v>
      </c>
      <c r="D5" s="18">
        <v>11517000000</v>
      </c>
      <c r="E5" s="18">
        <v>11043000000</v>
      </c>
      <c r="F5" s="8" t="s">
        <v>85</v>
      </c>
    </row>
    <row r="6" spans="1:6" x14ac:dyDescent="0.25">
      <c r="A6" t="s">
        <v>44</v>
      </c>
      <c r="B6" s="18">
        <v>3492000000</v>
      </c>
      <c r="C6" s="18">
        <v>3292000000</v>
      </c>
      <c r="D6" s="18">
        <v>3084000000</v>
      </c>
      <c r="E6" s="18">
        <v>2740000000</v>
      </c>
      <c r="F6" s="8" t="s">
        <v>86</v>
      </c>
    </row>
    <row r="7" spans="1:6" x14ac:dyDescent="0.25">
      <c r="A7" t="s">
        <v>87</v>
      </c>
      <c r="B7" s="18">
        <v>2057000000</v>
      </c>
      <c r="C7" s="18">
        <v>1927000000</v>
      </c>
      <c r="D7" s="18">
        <v>1773000000</v>
      </c>
      <c r="E7" s="18">
        <v>1668000000</v>
      </c>
      <c r="F7" s="8" t="s">
        <v>88</v>
      </c>
    </row>
    <row r="8" spans="1:6" x14ac:dyDescent="0.25">
      <c r="A8" t="s">
        <v>89</v>
      </c>
      <c r="B8" s="18">
        <v>6234000000</v>
      </c>
      <c r="C8" s="18">
        <v>5218000000</v>
      </c>
      <c r="D8" s="18">
        <v>4169000000</v>
      </c>
      <c r="E8" s="18">
        <v>3865000000</v>
      </c>
      <c r="F8" s="8" t="s">
        <v>90</v>
      </c>
    </row>
    <row r="9" spans="1:6" x14ac:dyDescent="0.25">
      <c r="A9" t="s">
        <v>91</v>
      </c>
      <c r="B9" s="18">
        <v>203000000</v>
      </c>
      <c r="C9" s="18">
        <v>-69000000</v>
      </c>
      <c r="D9" s="18">
        <v>181000000</v>
      </c>
      <c r="E9" s="18">
        <v>317000000</v>
      </c>
      <c r="F9" s="8" t="s">
        <v>92</v>
      </c>
    </row>
    <row r="10" spans="1:6" x14ac:dyDescent="0.25">
      <c r="A10" t="s">
        <v>93</v>
      </c>
      <c r="B10" s="18">
        <v>34673000000</v>
      </c>
      <c r="C10" s="18">
        <v>33702000000</v>
      </c>
      <c r="D10" s="18">
        <v>30028000000</v>
      </c>
      <c r="E10" s="18">
        <v>29035000000</v>
      </c>
      <c r="F10" s="8" t="s">
        <v>94</v>
      </c>
    </row>
    <row r="11" spans="1:6" x14ac:dyDescent="0.25">
      <c r="A11" t="s">
        <v>95</v>
      </c>
      <c r="B11" s="18">
        <v>367000000</v>
      </c>
      <c r="C11" s="18">
        <v>220000000</v>
      </c>
      <c r="D11" s="18">
        <v>625000000</v>
      </c>
      <c r="E11" s="18">
        <v>209000000</v>
      </c>
      <c r="F11" s="8" t="s">
        <v>96</v>
      </c>
    </row>
    <row r="12" spans="1:6" x14ac:dyDescent="0.25">
      <c r="A12" t="s">
        <v>32</v>
      </c>
      <c r="B12" s="34">
        <v>503700000</v>
      </c>
      <c r="C12" s="34">
        <v>495200000</v>
      </c>
      <c r="D12" s="34">
        <v>486500000</v>
      </c>
      <c r="E12" s="34">
        <v>479000000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7" ht="54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2026-09-19T00:06:38Z</dcterms:modified>
</cp:coreProperties>
</file>