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<sst xmlns="http://schemas.openxmlformats.org/spreadsheetml/2006/main" count="111" uniqueCount="99">
  <si>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Fortive Corporation (FTV)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</si>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</sst>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-0.10624788606146962</v>
      </c>
    </row>
    <row r="7" spans="1:2" x14ac:dyDescent="0.25">
      <c r="A7" t="s">
        <v>5</v>
      </c>
      <c r="B7" s="6">
        <v>0.16697680273184043</v>
      </c>
    </row>
    <row r="8" spans="1:2" x14ac:dyDescent="0.25">
      <c r="A8" t="s">
        <v>6</v>
      </c>
      <c r="B8" s="6">
        <v>0.08622043578992782</v>
      </c>
    </row>
    <row r="9" spans="1:2" x14ac:dyDescent="0.25">
      <c r="A9" t="s">
        <v>7</v>
      </c>
      <c r="B9" s="6">
        <v>0.09990504803082549</v>
      </c>
    </row>
    <row r="10" spans="1:2" x14ac:dyDescent="0.25">
      <c r="A10" t="s">
        <v>8</v>
      </c>
      <c r="B10" s="6">
        <v>0.01837263292190604</v>
      </c>
    </row>
    <row r="11" spans="1:2" x14ac:dyDescent="0.25">
      <c r="A11" t="s">
        <v>9</v>
      </c>
      <c r="B11" s="6">
        <v>0.08622754491017964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16.878595487994474</v>
      </c>
    </row>
    <row r="14" spans="1:3" x14ac:dyDescent="0.25">
      <c r="A14" t="s">
        <v>12</v>
      </c>
      <c r="B14" s="6">
        <v>0.09430402303555505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0.98191</v>
      </c>
      <c r="C19" s="8" t="s">
        <v>19</v>
      </c>
    </row>
    <row r="20" spans="1:2" x14ac:dyDescent="0.25">
      <c r="A20" t="s">
        <v>20</v>
      </c>
      <c r="B20" s="10">
        <f>B17+B19*B18</f>
        <v>0.10398505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16610937856</v>
      </c>
    </row>
    <row r="23" spans="1:2" x14ac:dyDescent="0.25">
      <c r="A23" t="s">
        <v>24</v>
      </c>
      <c r="B23" s="11">
        <v>3306600000</v>
      </c>
    </row>
    <row r="24" spans="1:2" x14ac:dyDescent="0.25">
      <c r="A24" t="s">
        <v>25</v>
      </c>
      <c r="B24" s="10">
        <f>B22/(B22+B23)</f>
        <v>0.8339855044380441</v>
      </c>
    </row>
    <row r="25" spans="1:2" x14ac:dyDescent="0.25">
      <c r="A25" t="s">
        <v>26</v>
      </c>
      <c r="B25" s="10">
        <f>1-B24</f>
        <v>0.1660144955619559</v>
      </c>
    </row>
    <row r="26" spans="1:2" x14ac:dyDescent="0.25">
      <c r="A26" t="s">
        <v>27</v>
      </c>
      <c r="B26" s="12">
        <f>B24*B20+B25*B21*(1-B8)</f>
        <v>0.09430402303555505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4159100000</v>
      </c>
      <c r="C29" s="8" t="s">
        <v>30</v>
      </c>
    </row>
    <row r="30" spans="1:2" x14ac:dyDescent="0.25">
      <c r="A30" t="s">
        <v>31</v>
      </c>
      <c r="B30" s="11">
        <v>2931100000</v>
      </c>
    </row>
    <row r="31" spans="1:2" x14ac:dyDescent="0.25">
      <c r="A31" t="s">
        <v>32</v>
      </c>
      <c r="B31" s="13">
        <v>334600000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-0.10624788606146962</v>
      </c>
      <c r="C5" s="10">
        <f>Assumptions!B6</f>
        <v>-0.10624788606146962</v>
      </c>
      <c r="D5" s="10">
        <f>Assumptions!B6</f>
        <v>-0.10624788606146962</v>
      </c>
      <c r="E5" s="10">
        <f>Assumptions!B6</f>
        <v>-0.10624788606146962</v>
      </c>
      <c r="F5" s="10">
        <f>Assumptions!B6</f>
        <v>-0.10624788606146962</v>
      </c>
    </row>
    <row r="6" spans="1:6" x14ac:dyDescent="0.25">
      <c r="A6" t="s">
        <v>43</v>
      </c>
      <c r="B6" s="18">
        <f>Assumptions!B29*(1+B5)</f>
        <v>3717204417.081742</v>
      </c>
      <c r="C6" s="18">
        <f>B6*(1+C5)</f>
        <v>3322259305.7084494</v>
      </c>
      <c r="D6" s="18">
        <f>C6*(1+D5)</f>
        <v>2969276277.528881</v>
      </c>
      <c r="E6" s="18">
        <f>D6*(1+E5)</f>
        <v>2653796949.908968</v>
      </c>
      <c r="F6" s="18">
        <f>E6*(1+F5)</f>
        <v>2371836633.944764</v>
      </c>
    </row>
    <row r="7" spans="1:6" x14ac:dyDescent="0.25">
      <c r="A7" t="s">
        <v>5</v>
      </c>
      <c r="B7" s="10">
        <f>Assumptions!B7</f>
        <v>0.16697680273184043</v>
      </c>
      <c r="C7" s="10">
        <f>Assumptions!B7</f>
        <v>0.16697680273184043</v>
      </c>
      <c r="D7" s="10">
        <f>Assumptions!B7</f>
        <v>0.16697680273184043</v>
      </c>
      <c r="E7" s="10">
        <f>Assumptions!B7</f>
        <v>0.16697680273184043</v>
      </c>
      <c r="F7" s="10">
        <f>Assumptions!B7</f>
        <v>0.16697680273184043</v>
      </c>
    </row>
    <row r="8" spans="1:6" x14ac:dyDescent="0.25">
      <c r="A8" t="s">
        <v>44</v>
      </c>
      <c r="B8" s="18">
        <f>B6*B7</f>
        <v>620686908.6649839</v>
      </c>
      <c r="C8" s="18">
        <f>C6*C7</f>
        <v>554740236.713301</v>
      </c>
      <c r="D8" s="18">
        <f>D6*D7</f>
        <v>495800259.2492735</v>
      </c>
      <c r="E8" s="18">
        <f>E6*E7</f>
        <v>443122529.79530954</v>
      </c>
      <c r="F8" s="18">
        <f>F6*F7</f>
        <v>396041697.7383473</v>
      </c>
    </row>
    <row r="9" spans="1:6" x14ac:dyDescent="0.25">
      <c r="A9" t="s">
        <v>45</v>
      </c>
      <c r="B9" s="18">
        <f>B8*(1-Assumptions!B8)</f>
        <v>567171012.9107859</v>
      </c>
      <c r="C9" s="18">
        <f>C8*(1-Assumptions!B8)</f>
        <v>506910291.7536724</v>
      </c>
      <c r="D9" s="18">
        <f>D8*(1-Assumptions!B8)</f>
        <v>453052144.832042</v>
      </c>
      <c r="E9" s="18">
        <f>E8*(1-Assumptions!B8)</f>
        <v>404916312.1680227</v>
      </c>
      <c r="F9" s="18">
        <f>F8*(1-Assumptions!B8)</f>
        <v>361894809.9683641</v>
      </c>
    </row>
    <row r="10" spans="1:6" x14ac:dyDescent="0.25">
      <c r="A10" t="s">
        <v>46</v>
      </c>
      <c r="B10" s="18">
        <f>B6*Assumptions!B9</f>
        <v>371367485.8289481</v>
      </c>
      <c r="C10" s="18">
        <f>C6*Assumptions!B9</f>
        <v>331910475.50765955</v>
      </c>
      <c r="D10" s="18">
        <f>D6*Assumptions!B9</f>
        <v>296645689.1233136</v>
      </c>
      <c r="E10" s="18">
        <f>E6*Assumptions!B9</f>
        <v>265127711.74471363</v>
      </c>
      <c r="F10" s="18">
        <f>F6*Assumptions!B9</f>
        <v>236958452.83552313</v>
      </c>
    </row>
    <row r="11" spans="1:6" x14ac:dyDescent="0.25">
      <c r="A11" t="s">
        <v>47</v>
      </c>
      <c r="B11" s="18">
        <f>-B6*Assumptions!B10</f>
        <v>-68294832.25073056</v>
      </c>
      <c r="C11" s="18">
        <f>-C6*Assumptions!B10</f>
        <v>-61038650.695167765</v>
      </c>
      <c r="D11" s="18">
        <f>-D6*Assumptions!B10</f>
        <v>-54553423.090761736</v>
      </c>
      <c r="E11" s="18">
        <f>-E6*Assumptions!B10</f>
        <v>-48757237.20995134</v>
      </c>
      <c r="F11" s="18">
        <f>-F6*Assumptions!B10</f>
        <v>-43576883.82619638</v>
      </c>
    </row>
    <row r="12" spans="1:6" x14ac:dyDescent="0.25">
      <c r="A12" t="s">
        <v>48</v>
      </c>
      <c r="B12" s="18">
        <f>-(B6-Assumptions!B29)*Assumptions!B11</f>
        <v>38103571.22169412</v>
      </c>
      <c r="C12" s="18">
        <f>-(C6-B6)*Assumptions!B11</f>
        <v>34055147.32799648</v>
      </c>
      <c r="D12" s="18">
        <f>-(D6-C6)*Assumptions!B11</f>
        <v>30436859.914884932</v>
      </c>
      <c r="E12" s="18">
        <f>-(E6-D6)*Assumptions!B11</f>
        <v>27203007.890579335</v>
      </c>
      <c r="F12" s="18">
        <f>-(F6-E6)*Assumptions!B11</f>
        <v>24312745.807691827</v>
      </c>
    </row>
    <row r="13" spans="1:6" x14ac:dyDescent="0.25">
      <c r="A13" s="19" t="s">
        <v>49</v>
      </c>
      <c r="B13" s="20">
        <f>B9+B10+B11+B12</f>
        <v>908347237.7106975</v>
      </c>
      <c r="C13" s="20">
        <f>C9+C10+C11+C12</f>
        <v>811837263.8941607</v>
      </c>
      <c r="D13" s="20">
        <f>D9+D10+D11+D12</f>
        <v>725581270.7794788</v>
      </c>
      <c r="E13" s="20">
        <f>E9+E10+E11+E12</f>
        <v>648489794.5933644</v>
      </c>
      <c r="F13" s="20">
        <f>F9+F10+F11+F12</f>
        <v>579589124.7853826</v>
      </c>
    </row>
    <row r="14" spans="1:6" x14ac:dyDescent="0.25">
      <c r="A14" t="s">
        <v>50</v>
      </c>
      <c r="B14" s="21">
        <f>1/(1+Assumptions!$B$26)^(1-0.5*Assumptions!$B$32)</f>
        <v>0.9559408092142774</v>
      </c>
      <c r="C14" s="21">
        <f>1/(1+Assumptions!$B$26)^(2-0.5*Assumptions!$B$32)</f>
        <v>0.8735605362781508</v>
      </c>
      <c r="D14" s="21">
        <f>1/(1+Assumptions!$B$26)^(3-0.5*Assumptions!$B$32)</f>
        <v>0.7982795620680707</v>
      </c>
      <c r="E14" s="21">
        <f>1/(1+Assumptions!$B$26)^(4-0.5*Assumptions!$B$32)</f>
        <v>0.7294860891159621</v>
      </c>
      <c r="F14" s="21">
        <f>1/(1+Assumptions!$B$26)^(5-0.5*Assumptions!$B$32)</f>
        <v>0.6666210429277207</v>
      </c>
    </row>
    <row r="15" spans="1:6" x14ac:dyDescent="0.25">
      <c r="A15" s="19" t="s">
        <v>51</v>
      </c>
      <c r="B15" s="20">
        <f>B13*B14</f>
        <v>868326193.4647177</v>
      </c>
      <c r="C15" s="20">
        <f>C13*C14</f>
        <v>709188995.6179696</v>
      </c>
      <c r="D15" s="20">
        <f>D13*D14</f>
        <v>579216699.0826366</v>
      </c>
      <c r="E15" s="20">
        <f>E13*E14</f>
        <v>473064284.08952695</v>
      </c>
      <c r="F15" s="20">
        <f>F13*F14</f>
        <v>386366306.83399665</v>
      </c>
    </row>
    <row r="17" spans="1:2" x14ac:dyDescent="0.25">
      <c r="A17" s="22" t="s">
        <v>52</v>
      </c>
      <c r="B17" s="23">
        <f>SUM(B15:F15)</f>
        <v>3016162479.088848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579589124.7853826</v>
      </c>
    </row>
    <row r="5" spans="1:2" x14ac:dyDescent="0.25">
      <c r="A5" t="s">
        <v>56</v>
      </c>
      <c r="B5" s="18">
        <f>IF(Assumptions!$B$33=0,B4,B4-Forecast!F11-Forecast!F10-Forecast!F12)</f>
        <v>545135852.0982447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0.2651000370426865</v>
      </c>
    </row>
    <row r="7" spans="1:2" x14ac:dyDescent="0.25">
      <c r="A7" t="s">
        <v>58</v>
      </c>
      <c r="B7" s="18">
        <f>-MAX(Forecast!F9,0)*B6</f>
        <v>-144515534.5845411</v>
      </c>
    </row>
    <row r="8" spans="1:2" x14ac:dyDescent="0.25">
      <c r="A8" t="s">
        <v>59</v>
      </c>
      <c r="B8" s="18">
        <f>IF(OR(Assumptions!$B$33=0,Assumptions!B12&lt;=0),B5,MAX(B5+B7,0))</f>
        <v>400620317.5137036</v>
      </c>
    </row>
    <row r="9" spans="1:2" x14ac:dyDescent="0.25">
      <c r="A9" t="s">
        <v>60</v>
      </c>
      <c r="B9" s="18">
        <f>B8*(1+Assumptions!B12)/(Assumptions!B26-Assumptions!B12)</f>
        <v>5925136917.966185</v>
      </c>
    </row>
    <row r="10" spans="1:2" x14ac:dyDescent="0.25">
      <c r="A10" t="s">
        <v>61</v>
      </c>
      <c r="B10" s="18">
        <f>B9/(1+Assumptions!B26)^(5-0.5*Assumptions!B32)</f>
        <v>3949820951.7441587</v>
      </c>
    </row>
    <row r="11" spans="1:2" x14ac:dyDescent="0.25">
      <c r="A11" t="s">
        <v>62</v>
      </c>
      <c r="B11" s="18">
        <f>Forecast!B17+B10</f>
        <v>6965983430.833007</v>
      </c>
    </row>
    <row r="12" spans="1:2" x14ac:dyDescent="0.25">
      <c r="A12" t="s">
        <v>63</v>
      </c>
      <c r="B12" s="18">
        <f>-Assumptions!B30</f>
        <v>-2931100000</v>
      </c>
    </row>
    <row r="13" spans="1:2" x14ac:dyDescent="0.25">
      <c r="A13" t="s">
        <v>64</v>
      </c>
      <c r="B13" s="18">
        <f>B11+B12</f>
        <v>4034883430.833007</v>
      </c>
    </row>
    <row r="14" spans="1:2" x14ac:dyDescent="0.25">
      <c r="A14" s="19" t="s">
        <v>65</v>
      </c>
      <c r="B14" s="24">
        <f>B13/Assumptions!B31</f>
        <v>12.058826750845807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633000150.5738704</v>
      </c>
    </row>
    <row r="18" spans="1:2" x14ac:dyDescent="0.25">
      <c r="A18" t="s">
        <v>60</v>
      </c>
      <c r="B18" s="18">
        <f>B17*Assumptions!B13</f>
        <v>10684153485.375952</v>
      </c>
    </row>
    <row r="19" spans="1:2" x14ac:dyDescent="0.25">
      <c r="A19" t="s">
        <v>61</v>
      </c>
      <c r="B19" s="18">
        <f>B18/(1+Assumptions!B26)^(5-0.5*Assumptions!B32)</f>
        <v>7122281539.221159</v>
      </c>
    </row>
    <row r="20" spans="1:2" x14ac:dyDescent="0.25">
      <c r="A20" t="s">
        <v>62</v>
      </c>
      <c r="B20" s="18">
        <f>Forecast!B17+B19</f>
        <v>10138444018.310007</v>
      </c>
    </row>
    <row r="21" spans="1:2" x14ac:dyDescent="0.25">
      <c r="A21" t="s">
        <v>63</v>
      </c>
      <c r="B21" s="18">
        <f>-Assumptions!B30</f>
        <v>-2931100000</v>
      </c>
    </row>
    <row r="22" spans="1:2" x14ac:dyDescent="0.25">
      <c r="A22" t="s">
        <v>64</v>
      </c>
      <c r="B22" s="18">
        <f>B20+B21</f>
        <v>7207344018.310007</v>
      </c>
    </row>
    <row r="23" spans="1:2" x14ac:dyDescent="0.25">
      <c r="A23" s="19" t="s">
        <v>65</v>
      </c>
      <c r="B23" s="25">
        <f>B22/Assumptions!B31</f>
        <v>21.54017937331144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12.058826750845807</v>
      </c>
    </row>
    <row r="29" spans="1:2" x14ac:dyDescent="0.25">
      <c r="A29" s="19" t="s">
        <v>73</v>
      </c>
      <c r="B29" s="12">
        <f>B28/B26-1</f>
        <v>-0.7807486045300762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0.074304</v>
      </c>
      <c r="B5" s="31">
        <v>16.733471216256536</v>
      </c>
      <c r="C5" s="31">
        <v>16.812879215166816</v>
      </c>
      <c r="D5" s="31">
        <v>16.892287214077093</v>
      </c>
      <c r="E5" s="31">
        <v>16.971695212987374</v>
      </c>
      <c r="F5" s="31">
        <v>17.051103211897647</v>
      </c>
    </row>
    <row r="6" spans="1:6" x14ac:dyDescent="0.25">
      <c r="A6" s="30">
        <v>0.084304</v>
      </c>
      <c r="B6" s="31">
        <v>14.058126511427037</v>
      </c>
      <c r="C6" s="31">
        <v>14.125257162972398</v>
      </c>
      <c r="D6" s="31">
        <v>14.192387814517753</v>
      </c>
      <c r="E6" s="31">
        <v>14.25951846606311</v>
      </c>
      <c r="F6" s="31">
        <v>14.326649117608463</v>
      </c>
    </row>
    <row r="7" spans="1:6" x14ac:dyDescent="0.25">
      <c r="A7" s="30">
        <v>0.094304</v>
      </c>
      <c r="B7" s="31">
        <v>11.943664230893873</v>
      </c>
      <c r="C7" s="31">
        <v>12.001247691169965</v>
      </c>
      <c r="D7" s="32">
        <v>12.058831151446054</v>
      </c>
      <c r="E7" s="31">
        <v>12.116414611722144</v>
      </c>
      <c r="F7" s="31">
        <v>12.17399807199823</v>
      </c>
    </row>
    <row r="8" spans="1:6" x14ac:dyDescent="0.25">
      <c r="A8" s="30">
        <v>0.104304</v>
      </c>
      <c r="B8" s="31">
        <v>10.229013023875009</v>
      </c>
      <c r="C8" s="31">
        <v>10.278987580028632</v>
      </c>
      <c r="D8" s="31">
        <v>10.328962136182252</v>
      </c>
      <c r="E8" s="31">
        <v>10.378936692335875</v>
      </c>
      <c r="F8" s="31">
        <v>10.428911248489495</v>
      </c>
    </row>
    <row r="9" spans="1:6" x14ac:dyDescent="0.25">
      <c r="A9" s="30">
        <v>0.114304</v>
      </c>
      <c r="B9" s="31">
        <v>8.809454954946883</v>
      </c>
      <c r="C9" s="31">
        <v>8.853244535147871</v>
      </c>
      <c r="D9" s="31">
        <v>8.897034115348857</v>
      </c>
      <c r="E9" s="31">
        <v>8.940823695549842</v>
      </c>
      <c r="F9" s="31">
        <v>8.984613275750828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4159100000</v>
      </c>
      <c r="C5" s="18">
        <v>4080900000</v>
      </c>
      <c r="D5" s="18">
        <v>3913900000</v>
      </c>
      <c r="E5" s="18">
        <v>5825700000</v>
      </c>
      <c r="F5" s="8" t="s">
        <v>84</v>
      </c>
    </row>
    <row r="6" spans="1:6" x14ac:dyDescent="0.25">
      <c r="A6" t="s">
        <v>44</v>
      </c>
      <c r="B6" s="18">
        <v>720200000</v>
      </c>
      <c r="C6" s="18">
        <v>716300000</v>
      </c>
      <c r="D6" s="18">
        <v>574000000</v>
      </c>
      <c r="E6" s="18">
        <v>1005300000</v>
      </c>
      <c r="F6" s="8" t="s">
        <v>85</v>
      </c>
    </row>
    <row r="7" spans="1:6" x14ac:dyDescent="0.25">
      <c r="A7" t="s">
        <v>86</v>
      </c>
      <c r="B7" s="18">
        <v>437600000</v>
      </c>
      <c r="C7" s="18">
        <v>430900000</v>
      </c>
      <c r="D7" s="18">
        <v>426200000</v>
      </c>
      <c r="E7" s="18">
        <v>465600000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120400000</v>
      </c>
      <c r="D8" s="18">
        <v>107800000</v>
      </c>
      <c r="E8" s="18">
        <v>95800000</v>
      </c>
      <c r="F8" s="8" t="s">
        <v>89</v>
      </c>
    </row>
    <row r="9" spans="1:6" x14ac:dyDescent="0.25">
      <c r="A9" t="s">
        <v>90</v>
      </c>
      <c r="B9" s="18">
        <v>51400000</v>
      </c>
      <c r="C9" s="18">
        <v>14400000</v>
      </c>
      <c r="D9" s="18">
        <v>113000000</v>
      </c>
      <c r="E9" s="18">
        <v>37900000</v>
      </c>
      <c r="F9" s="8" t="s">
        <v>91</v>
      </c>
    </row>
    <row r="10" spans="1:6" x14ac:dyDescent="0.25">
      <c r="A10" t="s">
        <v>92</v>
      </c>
      <c r="B10" s="18">
        <v>3306600000</v>
      </c>
      <c r="C10" s="18">
        <v>3707300000</v>
      </c>
      <c r="D10" s="18">
        <v>3810100000</v>
      </c>
      <c r="E10" s="18">
        <v>3420700000</v>
      </c>
      <c r="F10" s="8" t="s">
        <v>93</v>
      </c>
    </row>
    <row r="11" spans="1:6" x14ac:dyDescent="0.25">
      <c r="A11" t="s">
        <v>94</v>
      </c>
      <c r="B11" s="18">
        <v>375500000</v>
      </c>
      <c r="C11" s="18">
        <v>813300000</v>
      </c>
      <c r="D11" s="18">
        <v>1888800000</v>
      </c>
      <c r="E11" s="18">
        <v>709200000</v>
      </c>
      <c r="F11" s="8" t="s">
        <v>95</v>
      </c>
    </row>
    <row r="12" spans="1:6" x14ac:dyDescent="0.25">
      <c r="A12" t="s">
        <v>32</v>
      </c>
      <c r="B12" s="34">
        <v>334600000</v>
      </c>
      <c r="C12" s="34">
        <v>352800000</v>
      </c>
      <c r="D12" s="34">
        <v>355600000</v>
      </c>
      <c r="E12" s="34">
        <v>360800000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2026-09-19T00:06:56Z</dcterms:modified>
</cp:coreProperties>
</file>