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<sst xmlns="http://schemas.openxmlformats.org/spreadsheetml/2006/main" count="119" uniqueCount="106">
  <si>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Fortive Corporation (FTV)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</si>
  <si>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</si>
  <si>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</si>
  <si>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</si>
  <si>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</si>
  <si>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</si>
  <si>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</si>
  <si>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</si>
  <si>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</si>
  <si>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</si>
  <si>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</si>
  <si>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</si>
  <si>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</si>
  <si>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</si>
  <si>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</si>
  <si>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</si>
  <si>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</si>
  <si>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</si>
  <si>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</si>
  <si>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</si>
  <si>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</si>
  <si>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</si>
  <si>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</si>
  <si>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</si>
  <si>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6.0x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</si>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</sst>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0.06587303503161746</v>
      </c>
    </row>
    <row r="7" spans="1:2" x14ac:dyDescent="0.25">
      <c r="A7" t="s">
        <v>4</v>
      </c>
      <c r="B7" s="5">
        <v>0.16697680273184043</v>
      </c>
    </row>
    <row r="8" spans="1:2" x14ac:dyDescent="0.25">
      <c r="A8" t="s">
        <v>5</v>
      </c>
      <c r="B8" s="5">
        <v>0.08622043578992782</v>
      </c>
    </row>
    <row r="9" spans="1:2" x14ac:dyDescent="0.25">
      <c r="A9" t="s">
        <v>6</v>
      </c>
      <c r="B9" s="5">
        <v>0.09990504803082549</v>
      </c>
    </row>
    <row r="10" spans="1:3" x14ac:dyDescent="0.25">
      <c r="A10" t="s">
        <v>7</v>
      </c>
      <c r="B10" s="5">
        <v>0.01837263292190604</v>
      </c>
      <c r="C10" s="6" t="s">
        <v>8</v>
      </c>
    </row>
    <row r="11" spans="1:2" x14ac:dyDescent="0.25">
      <c r="A11" t="s">
        <v>9</v>
      </c>
      <c r="B11" s="5">
        <v>0.1396556295571034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19.300785323890135</v>
      </c>
    </row>
    <row r="14" spans="1:3" x14ac:dyDescent="0.25">
      <c r="A14" t="s">
        <v>12</v>
      </c>
      <c r="B14" s="5">
        <v>0.08506206244420912</v>
      </c>
      <c r="C14" s="6" t="s">
        <v>13</v>
      </c>
    </row>
    <row r="15" spans="1:3" x14ac:dyDescent="0.25">
      <c r="A15" t="s">
        <v>14</v>
      </c>
      <c r="B15" s="5">
        <v>0.0153583717555492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0.99062</v>
      </c>
      <c r="C19" s="6" t="s">
        <v>21</v>
      </c>
    </row>
    <row r="20" spans="1:2" x14ac:dyDescent="0.25">
      <c r="A20" t="s">
        <v>22</v>
      </c>
      <c r="B20" s="9">
        <f>B17+B19*B18</f>
        <v>0.090843226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19415349248</v>
      </c>
    </row>
    <row r="23" spans="1:2" x14ac:dyDescent="0.25">
      <c r="A23" t="s">
        <v>26</v>
      </c>
      <c r="B23" s="10">
        <v>3306600000</v>
      </c>
    </row>
    <row r="24" spans="1:2" x14ac:dyDescent="0.25">
      <c r="A24" t="s">
        <v>27</v>
      </c>
      <c r="B24" s="9">
        <f>B22/(B22+B23)</f>
        <v>0.8544755133501124</v>
      </c>
    </row>
    <row r="25" spans="1:2" x14ac:dyDescent="0.25">
      <c r="A25" t="s">
        <v>28</v>
      </c>
      <c r="B25" s="9">
        <f>1-B24</f>
        <v>0.1455244866498876</v>
      </c>
    </row>
    <row r="26" spans="1:2" x14ac:dyDescent="0.25">
      <c r="A26" t="s">
        <v>29</v>
      </c>
      <c r="B26" s="11">
        <f>B24*B20+B25*B21*(1-B8)</f>
        <v>0.08506206244420912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4159100000</v>
      </c>
      <c r="C29" s="6" t="s">
        <v>32</v>
      </c>
    </row>
    <row r="30" spans="1:2" x14ac:dyDescent="0.25">
      <c r="A30" t="s">
        <v>33</v>
      </c>
      <c r="B30" s="10">
        <v>2931100000</v>
      </c>
    </row>
    <row r="31" spans="1:2" x14ac:dyDescent="0.25">
      <c r="A31" t="s">
        <v>34</v>
      </c>
      <c r="B31" s="12">
        <v>334600000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0.06587303503161746</v>
      </c>
      <c r="C5" s="5">
        <v>0.033601087881138136</v>
      </c>
      <c r="D5" s="5">
        <v>0.03252595189599587</v>
      </c>
      <c r="E5" s="5">
        <v>0.0314508159108536</v>
      </c>
      <c r="F5" s="5">
        <v>0.030375679925711337</v>
      </c>
      <c r="G5" s="5">
        <v>0.02930054394056907</v>
      </c>
      <c r="H5" s="5">
        <v>0.0282254079554268</v>
      </c>
      <c r="I5" s="5">
        <v>0.027150271970284537</v>
      </c>
      <c r="J5" s="5">
        <v>0.02607513598514227</v>
      </c>
      <c r="K5" s="5">
        <v>0.025</v>
      </c>
    </row>
    <row r="6" spans="1:11" x14ac:dyDescent="0.25">
      <c r="A6" t="s">
        <v>50</v>
      </c>
      <c r="B6" s="18">
        <f>Assumptions!B29*(1+B5)</f>
        <v>4433072540</v>
      </c>
      <c r="C6" s="18">
        <f>B6*(1+C5)</f>
        <v>4582028600</v>
      </c>
      <c r="D6" s="18">
        <f>C6*(1+D5)</f>
        <v>4731063441.829678</v>
      </c>
      <c r="E6" s="18">
        <f>D6*(1+E5)</f>
        <v>4879859247.201232</v>
      </c>
      <c r="F6" s="18">
        <f>E6*(1+F5)</f>
        <v>5028088289.776739</v>
      </c>
      <c r="G6" s="18">
        <f>F6*(1+G5)</f>
        <v>5175414011.648403</v>
      </c>
      <c r="H6" s="18">
        <f>G6*(1+H5)</f>
        <v>5321492183.465411</v>
      </c>
      <c r="I6" s="18">
        <f>H6*(1+I5)</f>
        <v>5465972143.534241</v>
      </c>
      <c r="J6" s="18">
        <f>I6*(1+J5)</f>
        <v>5608498110.4678955</v>
      </c>
      <c r="K6" s="18">
        <f>J6*(1+K5)</f>
        <v>5748710563.229592</v>
      </c>
    </row>
    <row r="7" spans="1:11" x14ac:dyDescent="0.25">
      <c r="A7" t="s">
        <v>4</v>
      </c>
      <c r="B7" s="9">
        <f>Assumptions!B7</f>
        <v>0.16697680273184043</v>
      </c>
      <c r="C7" s="9">
        <f>Assumptions!B7</f>
        <v>0.16697680273184043</v>
      </c>
      <c r="D7" s="9">
        <f>Assumptions!B7</f>
        <v>0.16697680273184043</v>
      </c>
      <c r="E7" s="9">
        <f>Assumptions!B7</f>
        <v>0.16697680273184043</v>
      </c>
      <c r="F7" s="9">
        <f>Assumptions!B7</f>
        <v>0.16697680273184043</v>
      </c>
      <c r="G7" s="9">
        <f>Assumptions!B7</f>
        <v>0.16697680273184043</v>
      </c>
      <c r="H7" s="9">
        <f>Assumptions!B7</f>
        <v>0.16697680273184043</v>
      </c>
      <c r="I7" s="9">
        <f>Assumptions!B7</f>
        <v>0.16697680273184043</v>
      </c>
      <c r="J7" s="9">
        <f>Assumptions!B7</f>
        <v>0.16697680273184043</v>
      </c>
      <c r="K7" s="9">
        <f>Assumptions!B7</f>
        <v>0.16697680273184043</v>
      </c>
    </row>
    <row r="8" spans="1:11" x14ac:dyDescent="0.25">
      <c r="A8" t="s">
        <v>51</v>
      </c>
      <c r="B8" s="18">
        <f>B6*B7</f>
        <v>740220279.0075188</v>
      </c>
      <c r="C8" s="18">
        <f>C6*C7</f>
        <v>765092485.653851</v>
      </c>
      <c r="D8" s="18">
        <f>D6*D7</f>
        <v>789977847.0382161</v>
      </c>
      <c r="E8" s="18">
        <f>E6*E7</f>
        <v>814823294.8790674</v>
      </c>
      <c r="F8" s="18">
        <f>F6*F7</f>
        <v>839574106.4803275</v>
      </c>
      <c r="G8" s="18">
        <f>G6*G7</f>
        <v>864174084.4786183</v>
      </c>
      <c r="H8" s="18">
        <f>H6*H7</f>
        <v>888565750.5575348</v>
      </c>
      <c r="I8" s="18">
        <f>I6*I7</f>
        <v>912690552.3486519</v>
      </c>
      <c r="J8" s="18">
        <f>J6*J7</f>
        <v>936489082.6134976</v>
      </c>
      <c r="K8" s="18">
        <f>K6*K7</f>
        <v>959901309.6788349</v>
      </c>
    </row>
    <row r="9" spans="1:11" x14ac:dyDescent="0.25">
      <c r="A9" t="s">
        <v>52</v>
      </c>
      <c r="B9" s="18">
        <f>B8*(1-Assumptions!B8)</f>
        <v>676398163.9709486</v>
      </c>
      <c r="C9" s="18">
        <f>C8*(1-Assumptions!B8)</f>
        <v>699125878.121177</v>
      </c>
      <c r="D9" s="18">
        <f>D8*(1-Assumptions!B8)</f>
        <v>721865612.8021922</v>
      </c>
      <c r="E9" s="18">
        <f>E8*(1-Assumptions!B8)</f>
        <v>744568875.3028094</v>
      </c>
      <c r="F9" s="18">
        <f>F8*(1-Assumptions!B8)</f>
        <v>767185661.1416544</v>
      </c>
      <c r="G9" s="18">
        <f>G8*(1-Assumptions!B8)</f>
        <v>789664618.31651</v>
      </c>
      <c r="H9" s="18">
        <f>H8*(1-Assumptions!B8)</f>
        <v>811953224.3164599</v>
      </c>
      <c r="I9" s="18">
        <f>I8*(1-Assumptions!B8)</f>
        <v>833997975.1838012</v>
      </c>
      <c r="J9" s="18">
        <f>J8*(1-Assumptions!B8)</f>
        <v>855744585.7980522</v>
      </c>
      <c r="K9" s="18">
        <f>K8*(1-Assumptions!B8)</f>
        <v>877138200.4430033</v>
      </c>
    </row>
    <row r="10" spans="1:11" x14ac:dyDescent="0.25">
      <c r="A10" t="s">
        <v>53</v>
      </c>
      <c r="B10" s="18">
        <f>B6*Assumptions!B9</f>
        <v>442886325.0328336</v>
      </c>
      <c r="C10" s="18">
        <f>C6*Assumptions!B9</f>
        <v>457767787.3616161</v>
      </c>
      <c r="D10" s="18">
        <f>D6*Assumptions!B9</f>
        <v>472657120.3928765</v>
      </c>
      <c r="E10" s="18">
        <f>E6*Assumptions!B9</f>
        <v>487522572.475307</v>
      </c>
      <c r="F10" s="18">
        <f>F6*Assumptions!B9</f>
        <v>502331402.09337634</v>
      </c>
      <c r="G10" s="18">
        <f>G6*Assumptions!B9</f>
        <v>517049985.41314095</v>
      </c>
      <c r="H10" s="18">
        <f>H6*Assumptions!B9</f>
        <v>531643932.18477434</v>
      </c>
      <c r="I10" s="18">
        <f>I6*Assumptions!B9</f>
        <v>546078209.5349425</v>
      </c>
      <c r="J10" s="18">
        <f>J6*Assumptions!B9</f>
        <v>560317273.1070892</v>
      </c>
      <c r="K10" s="18">
        <f>K6*Assumptions!B9</f>
        <v>574325204.9347663</v>
      </c>
    </row>
    <row r="11" spans="1:11" x14ac:dyDescent="0.25">
      <c r="A11" t="s">
        <v>54</v>
      </c>
      <c r="B11" s="18">
        <f>-B6*B19</f>
        <v>-81447214.49360164</v>
      </c>
      <c r="C11" s="18">
        <f>-C6*C19</f>
        <v>-117039894.88698393</v>
      </c>
      <c r="D11" s="18">
        <f>-D6*D19</f>
        <v>-154771365.80899474</v>
      </c>
      <c r="E11" s="18">
        <f>-E6*E19</f>
        <v>-194630645.9852887</v>
      </c>
      <c r="F11" s="18">
        <f>-F6*F19</f>
        <v>-236597172.1062956</v>
      </c>
      <c r="G11" s="18">
        <f>-G6*G19</f>
        <v>-280640501.9660368</v>
      </c>
      <c r="H11" s="18">
        <f>-H6*H19</f>
        <v>-326720069.0506922</v>
      </c>
      <c r="I11" s="18">
        <f>-I6*I19</f>
        <v>-374784992.45507705</v>
      </c>
      <c r="J11" s="18">
        <f>-J6*J19</f>
        <v>-424773945.6802056</v>
      </c>
      <c r="K11" s="18">
        <f>-K6*K19</f>
        <v>-476615087.4934244</v>
      </c>
    </row>
    <row r="12" spans="1:11" x14ac:dyDescent="0.25">
      <c r="A12" t="s">
        <v>55</v>
      </c>
      <c r="B12" s="18">
        <f>-(B6-Assumptions!B29)*Assumptions!B11</f>
        <v>-38261807.555058695</v>
      </c>
      <c r="C12" s="18">
        <f>-(C6-B6)*Assumptions!B11</f>
        <v>-20802552.33564567</v>
      </c>
      <c r="D12" s="18">
        <f>-(D6-C6)*Assumptions!B11</f>
        <v>-20813554.66166695</v>
      </c>
      <c r="E12" s="18">
        <f>-(E6-D6)*Assumptions!B11</f>
        <v>-20780171.874620654</v>
      </c>
      <c r="F12" s="18">
        <f>-(F6-E6)*Assumptions!B11</f>
        <v>-20701020.259529136</v>
      </c>
      <c r="G12" s="18">
        <f>-(G6-F6)*Assumptions!B11</f>
        <v>-20574866.43794196</v>
      </c>
      <c r="H12" s="18">
        <f>-(H6-G6)*Assumptions!B11</f>
        <v>-20400639.04965497</v>
      </c>
      <c r="I12" s="18">
        <f>-(I6-H6)*Assumptions!B11</f>
        <v>-20177439.781797547</v>
      </c>
      <c r="J12" s="18">
        <f>-(J6-I6)*Assumptions!B11</f>
        <v>-19904553.640354462</v>
      </c>
      <c r="K12" s="18">
        <f>-(K6-J6)*Assumptions!B11</f>
        <v>-19581458.36218039</v>
      </c>
    </row>
    <row r="13" spans="1:11" x14ac:dyDescent="0.25">
      <c r="A13" s="19" t="s">
        <v>56</v>
      </c>
      <c r="B13" s="20">
        <f>B9+B10+B11+B12</f>
        <v>999575466.9551219</v>
      </c>
      <c r="C13" s="20">
        <f>C9+C10+C11+C12</f>
        <v>1019051218.2601635</v>
      </c>
      <c r="D13" s="20">
        <f>D9+D10+D11+D12</f>
        <v>1018937812.7244071</v>
      </c>
      <c r="E13" s="20">
        <f>E9+E10+E11+E12</f>
        <v>1016680629.9182068</v>
      </c>
      <c r="F13" s="20">
        <f>F9+F10+F11+F12</f>
        <v>1012218870.869206</v>
      </c>
      <c r="G13" s="20">
        <f>G9+G10+G11+G12</f>
        <v>1005499235.3256723</v>
      </c>
      <c r="H13" s="20">
        <f>H9+H10+H11+H12</f>
        <v>996476448.4008871</v>
      </c>
      <c r="I13" s="20">
        <f>I9+I10+I11+I12</f>
        <v>985113752.4818692</v>
      </c>
      <c r="J13" s="20">
        <f>J9+J10+J11+J12</f>
        <v>971383359.5845813</v>
      </c>
      <c r="K13" s="20">
        <f>K9+K10+K11+K12</f>
        <v>955266859.5221647</v>
      </c>
    </row>
    <row r="14" spans="1:11" x14ac:dyDescent="0.25">
      <c r="A14" t="s">
        <v>57</v>
      </c>
      <c r="B14" s="21">
        <f>1/(1+Assumptions!$B$26)^(1-0.5*Assumptions!$B$32)</f>
        <v>0.9600032655773425</v>
      </c>
      <c r="C14" s="21">
        <f>1/(1+Assumptions!$B$26)^(2-0.5*Assumptions!$B$32)</f>
        <v>0.8847450286989489</v>
      </c>
      <c r="D14" s="21">
        <f>1/(1+Assumptions!$B$26)^(3-0.5*Assumptions!$B$32)</f>
        <v>0.81538656572876</v>
      </c>
      <c r="E14" s="21">
        <f>1/(1+Assumptions!$B$26)^(4-0.5*Assumptions!$B$32)</f>
        <v>0.7514653713834778</v>
      </c>
      <c r="F14" s="21">
        <f>1/(1+Assumptions!$B$26)^(5-0.5*Assumptions!$B$32)</f>
        <v>0.6925551978941444</v>
      </c>
      <c r="G14" s="21">
        <f>1/(1+Assumptions!$B$26)^(6-0.5*Assumptions!$B$32)</f>
        <v>0.6382632126443493</v>
      </c>
      <c r="H14" s="21">
        <f>1/(1+Assumptions!$B$26)^(7-0.5*Assumptions!$B$32)</f>
        <v>0.5882273786317794</v>
      </c>
      <c r="I14" s="21">
        <f>1/(1+Assumptions!$B$26)^(8-0.5*Assumptions!$B$32)</f>
        <v>0.5421140402851606</v>
      </c>
      <c r="J14" s="21">
        <f>1/(1+Assumptions!$B$26)^(9-0.5*Assumptions!$B$32)</f>
        <v>0.49961569853801296</v>
      </c>
      <c r="K14" s="21">
        <f>1/(1+Assumptions!$B$26)^(10-0.5*Assumptions!$B$32)</f>
        <v>0.46044896032267446</v>
      </c>
    </row>
    <row r="15" spans="1:11" x14ac:dyDescent="0.25">
      <c r="A15" s="19" t="s">
        <v>58</v>
      </c>
      <c r="B15" s="20">
        <f>B13*B14</f>
        <v>959595712.467914</v>
      </c>
      <c r="C15" s="20">
        <f>C13*C14</f>
        <v>901600499.3452872</v>
      </c>
      <c r="D15" s="20">
        <f>D13*D14</f>
        <v>830828203.8085287</v>
      </c>
      <c r="E15" s="20">
        <f>E13*E14</f>
        <v>764000287.1398734</v>
      </c>
      <c r="F15" s="20">
        <f>F13*F14</f>
        <v>701017440.4270104</v>
      </c>
      <c r="G15" s="20">
        <f>G13*G14</f>
        <v>641773172.2504002</v>
      </c>
      <c r="H15" s="20">
        <f>H13*H14</f>
        <v>586154729.1111594</v>
      </c>
      <c r="I15" s="20">
        <f>I13*I14</f>
        <v>534043996.4984218</v>
      </c>
      <c r="J15" s="20">
        <f>J13*J14</f>
        <v>485318375.7470524</v>
      </c>
      <c r="K15" s="20">
        <f>K13*K14</f>
        <v>439851632.29768705</v>
      </c>
    </row>
    <row r="17" spans="1:2" x14ac:dyDescent="0.25">
      <c r="A17" s="22" t="s">
        <v>59</v>
      </c>
      <c r="B17" s="23">
        <f>SUM(B15:K15)</f>
        <v>6844184049.093334</v>
      </c>
    </row>
    <row r="19" spans="1:11" x14ac:dyDescent="0.25">
      <c r="A19" t="s">
        <v>7</v>
      </c>
      <c r="B19" s="9">
        <f>Assumptions!$B$10+($B$20-Assumptions!$B$10)*0/9</f>
        <v>0.01837263292190604</v>
      </c>
      <c r="C19" s="9">
        <f>Assumptions!$B$10+($B$20-Assumptions!$B$10)*1/9</f>
        <v>0.025543248439563196</v>
      </c>
      <c r="D19" s="9">
        <f>Assumptions!$B$10+($B$20-Assumptions!$B$10)*2/9</f>
        <v>0.03271386395722035</v>
      </c>
      <c r="E19" s="9">
        <f>Assumptions!$B$10+($B$20-Assumptions!$B$10)*3/9</f>
        <v>0.0398844794748775</v>
      </c>
      <c r="F19" s="9">
        <f>Assumptions!$B$10+($B$20-Assumptions!$B$10)*4/9</f>
        <v>0.04705509499253466</v>
      </c>
      <c r="G19" s="9">
        <f>Assumptions!$B$10+($B$20-Assumptions!$B$10)*5/9</f>
        <v>0.054225710510191816</v>
      </c>
      <c r="H19" s="9">
        <f>Assumptions!$B$10+($B$20-Assumptions!$B$10)*6/9</f>
        <v>0.06139632602784896</v>
      </c>
      <c r="I19" s="9">
        <f>Assumptions!$B$10+($B$20-Assumptions!$B$10)*7/9</f>
        <v>0.06856694154550612</v>
      </c>
      <c r="J19" s="9">
        <f>Assumptions!$B$10+($B$20-Assumptions!$B$10)*8/9</f>
        <v>0.07573755706316326</v>
      </c>
      <c r="K19" s="9">
        <f>Assumptions!$B$10+($B$20-Assumptions!$B$10)*9/9</f>
        <v>0.08290817258082042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0.08290817258082042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955266859.5221647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1321266476.1570272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0.29390305480068873</v>
      </c>
    </row>
    <row r="7" spans="1:2" x14ac:dyDescent="0.25">
      <c r="A7" t="s">
        <v>66</v>
      </c>
      <c r="B7" s="18">
        <f>-MAX(B5,0)*B6</f>
        <v>-388324253.5482917</v>
      </c>
    </row>
    <row r="8" spans="1:2" x14ac:dyDescent="0.25">
      <c r="A8" t="s">
        <v>67</v>
      </c>
      <c r="B8" s="18">
        <f>IF(OR(Assumptions!$B$33=0,Assumptions!B12&lt;=0),B5,MAX(B5+B7,0))</f>
        <v>932942222.6087356</v>
      </c>
    </row>
    <row r="9" spans="1:2" x14ac:dyDescent="0.25">
      <c r="A9" t="s">
        <v>68</v>
      </c>
      <c r="B9" s="18">
        <f>B8*(1+Assumptions!B12)/(Assumptions!B26-Assumptions!B12)</f>
        <v>15921294395.479958</v>
      </c>
    </row>
    <row r="10" spans="1:2" x14ac:dyDescent="0.25">
      <c r="A10" t="s">
        <v>69</v>
      </c>
      <c r="B10" s="18">
        <f>B9/(1+Assumptions!B26)^(10-0.5*Assumptions!B32)</f>
        <v>7330943451.38997</v>
      </c>
    </row>
    <row r="11" spans="1:2" x14ac:dyDescent="0.25">
      <c r="A11" t="s">
        <v>70</v>
      </c>
      <c r="B11" s="18">
        <f>Forecast!B17+B10</f>
        <v>14175127500.483303</v>
      </c>
    </row>
    <row r="12" spans="1:2" x14ac:dyDescent="0.25">
      <c r="A12" t="s">
        <v>71</v>
      </c>
      <c r="B12" s="18">
        <f>-Assumptions!B30</f>
        <v>-2931100000</v>
      </c>
    </row>
    <row r="13" spans="1:2" x14ac:dyDescent="0.25">
      <c r="A13" t="s">
        <v>72</v>
      </c>
      <c r="B13" s="18">
        <f>B11+B12</f>
        <v>11244027500.483303</v>
      </c>
    </row>
    <row r="14" spans="1:2" x14ac:dyDescent="0.25">
      <c r="A14" s="19" t="s">
        <v>73</v>
      </c>
      <c r="B14" s="24">
        <f>B13/Assumptions!B31</f>
        <v>33.60438583527586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1534226514.6136012</v>
      </c>
    </row>
    <row r="18" spans="1:2" x14ac:dyDescent="0.25">
      <c r="A18" t="s">
        <v>68</v>
      </c>
      <c r="B18" s="18">
        <f>B17*Assumptions!B13</f>
        <v>29611776596.77731</v>
      </c>
    </row>
    <row r="19" spans="1:2" x14ac:dyDescent="0.25">
      <c r="A19" t="s">
        <v>69</v>
      </c>
      <c r="B19" s="18">
        <f>B18/(1+Assumptions!B26)^(10-0.5*Assumptions!B32)</f>
        <v>13634711747.293415</v>
      </c>
    </row>
    <row r="20" spans="1:2" x14ac:dyDescent="0.25">
      <c r="A20" t="s">
        <v>70</v>
      </c>
      <c r="B20" s="18">
        <f>Forecast!B17+B19</f>
        <v>20478895796.38675</v>
      </c>
    </row>
    <row r="21" spans="1:2" x14ac:dyDescent="0.25">
      <c r="A21" t="s">
        <v>71</v>
      </c>
      <c r="B21" s="18">
        <f>-Assumptions!B30</f>
        <v>-2931100000</v>
      </c>
    </row>
    <row r="22" spans="1:2" x14ac:dyDescent="0.25">
      <c r="A22" t="s">
        <v>72</v>
      </c>
      <c r="B22" s="18">
        <f>B20+B21</f>
        <v>17547795796.38675</v>
      </c>
    </row>
    <row r="23" spans="1:2" x14ac:dyDescent="0.25">
      <c r="A23" s="19" t="s">
        <v>73</v>
      </c>
      <c r="B23" s="25">
        <f>B22/Assumptions!B31</f>
        <v>52.444099809882694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33.60438583527586</v>
      </c>
    </row>
    <row r="29" spans="1:2" x14ac:dyDescent="0.25">
      <c r="A29" s="19" t="s">
        <v>81</v>
      </c>
      <c r="B29" s="11">
        <f>B28/B26-1</f>
        <v>-0.48483234960484656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0.065062</v>
      </c>
      <c r="B5" s="31">
        <v>48.03471114589755</v>
      </c>
      <c r="C5" s="31">
        <v>47.27963631084533</v>
      </c>
      <c r="D5" s="31">
        <v>46.52456147579309</v>
      </c>
      <c r="E5" s="31">
        <v>45.76948664074089</v>
      </c>
      <c r="F5" s="31">
        <v>45.014411805688674</v>
      </c>
    </row>
    <row r="6" spans="1:6" x14ac:dyDescent="0.25">
      <c r="A6" s="30">
        <v>0.075062</v>
      </c>
      <c r="B6" s="31">
        <v>40.43885949924772</v>
      </c>
      <c r="C6" s="31">
        <v>39.82012540608726</v>
      </c>
      <c r="D6" s="31">
        <v>39.20139131292678</v>
      </c>
      <c r="E6" s="31">
        <v>38.58265721976631</v>
      </c>
      <c r="F6" s="31">
        <v>37.96392312660583</v>
      </c>
    </row>
    <row r="7" spans="1:6" x14ac:dyDescent="0.25">
      <c r="A7" s="30">
        <v>0.085062</v>
      </c>
      <c r="B7" s="31">
        <v>34.63766141500619</v>
      </c>
      <c r="C7" s="31">
        <v>34.12103903911423</v>
      </c>
      <c r="D7" s="32">
        <v>33.60441666322225</v>
      </c>
      <c r="E7" s="31">
        <v>33.0877942873303</v>
      </c>
      <c r="F7" s="31">
        <v>32.57117191143833</v>
      </c>
    </row>
    <row r="8" spans="1:6" x14ac:dyDescent="0.25">
      <c r="A8" s="30">
        <v>0.095062</v>
      </c>
      <c r="B8" s="31">
        <v>30.064251690877388</v>
      </c>
      <c r="C8" s="31">
        <v>29.626470289978574</v>
      </c>
      <c r="D8" s="31">
        <v>29.188688889079746</v>
      </c>
      <c r="E8" s="31">
        <v>28.750907488180925</v>
      </c>
      <c r="F8" s="31">
        <v>28.313126087282104</v>
      </c>
    </row>
    <row r="9" spans="1:6" x14ac:dyDescent="0.25">
      <c r="A9" s="30">
        <v>0.105062</v>
      </c>
      <c r="B9" s="31">
        <v>26.36761772747539</v>
      </c>
      <c r="C9" s="31">
        <v>25.99217993516548</v>
      </c>
      <c r="D9" s="31">
        <v>25.61674214285557</v>
      </c>
      <c r="E9" s="31">
        <v>25.241304350545647</v>
      </c>
      <c r="F9" s="31">
        <v>24.865866558235737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4159100000</v>
      </c>
      <c r="C5" s="18">
        <v>4080900000</v>
      </c>
      <c r="D5" s="18">
        <v>3913900000</v>
      </c>
      <c r="E5" s="18">
        <v>5825700000</v>
      </c>
      <c r="F5" s="6" t="s">
        <v>91</v>
      </c>
    </row>
    <row r="6" spans="1:6" x14ac:dyDescent="0.25">
      <c r="A6" t="s">
        <v>51</v>
      </c>
      <c r="B6" s="18">
        <v>720200000</v>
      </c>
      <c r="C6" s="18">
        <v>716300000</v>
      </c>
      <c r="D6" s="18">
        <v>574000000</v>
      </c>
      <c r="E6" s="18">
        <v>1005300000</v>
      </c>
      <c r="F6" s="6" t="s">
        <v>92</v>
      </c>
    </row>
    <row r="7" spans="1:6" x14ac:dyDescent="0.25">
      <c r="A7" t="s">
        <v>93</v>
      </c>
      <c r="B7" s="18">
        <v>437600000</v>
      </c>
      <c r="C7" s="18">
        <v>430900000</v>
      </c>
      <c r="D7" s="18">
        <v>426200000</v>
      </c>
      <c r="E7" s="18">
        <v>465600000</v>
      </c>
      <c r="F7" s="6" t="s">
        <v>94</v>
      </c>
    </row>
    <row r="8" spans="1:6" x14ac:dyDescent="0.25">
      <c r="A8" t="s">
        <v>95</v>
      </c>
      <c r="B8" s="18">
        <v>0</v>
      </c>
      <c r="C8" s="18">
        <v>120400000</v>
      </c>
      <c r="D8" s="18">
        <v>107800000</v>
      </c>
      <c r="E8" s="18">
        <v>95800000</v>
      </c>
      <c r="F8" s="6" t="s">
        <v>96</v>
      </c>
    </row>
    <row r="9" spans="1:6" x14ac:dyDescent="0.25">
      <c r="A9" t="s">
        <v>97</v>
      </c>
      <c r="B9" s="18">
        <v>51400000</v>
      </c>
      <c r="C9" s="18">
        <v>14400000</v>
      </c>
      <c r="D9" s="18">
        <v>113000000</v>
      </c>
      <c r="E9" s="18">
        <v>37900000</v>
      </c>
      <c r="F9" s="6" t="s">
        <v>98</v>
      </c>
    </row>
    <row r="10" spans="1:6" x14ac:dyDescent="0.25">
      <c r="A10" t="s">
        <v>99</v>
      </c>
      <c r="B10" s="18">
        <v>3306600000</v>
      </c>
      <c r="C10" s="18">
        <v>3707300000</v>
      </c>
      <c r="D10" s="18">
        <v>3810100000</v>
      </c>
      <c r="E10" s="18">
        <v>3420700000</v>
      </c>
      <c r="F10" s="6" t="s">
        <v>100</v>
      </c>
    </row>
    <row r="11" spans="1:6" x14ac:dyDescent="0.25">
      <c r="A11" t="s">
        <v>101</v>
      </c>
      <c r="B11" s="18">
        <v>375500000</v>
      </c>
      <c r="C11" s="18">
        <v>813300000</v>
      </c>
      <c r="D11" s="18">
        <v>1888800000</v>
      </c>
      <c r="E11" s="18">
        <v>709200000</v>
      </c>
      <c r="F11" s="6" t="s">
        <v>102</v>
      </c>
    </row>
    <row r="12" spans="1:6" x14ac:dyDescent="0.25">
      <c r="A12" t="s">
        <v>34</v>
      </c>
      <c r="B12" s="34">
        <v>334600000</v>
      </c>
      <c r="C12" s="34">
        <v>352800000</v>
      </c>
      <c r="D12" s="34">
        <v>355600000</v>
      </c>
      <c r="E12" s="34">
        <v>360800000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