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<sst xmlns="http://schemas.openxmlformats.org/spreadsheetml/2006/main" count="116" uniqueCount="103">
  <si>
    <t>Assicurazioni Generali S.p.A. (G.MI)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</si>
  <si>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</si>
  <si>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</si>
  <si>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</si>
  <si>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</si>
  <si>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</si>
  <si>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</si>
  <si>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</si>
  <si>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</si>
  <si>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</si>
  <si>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</si>
  <si>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</si>
  <si>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</si>
  <si>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</si>
  <si>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</si>
  <si>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</si>
  <si>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</si>
  <si>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</si>
  <si>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</si>
  <si>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</si>
  <si>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</si>
  <si>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</si>
  <si>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</si>
  <si>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</si>
  <si>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</si>
  <si>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</si>
  <si>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</si>
  <si>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</si>
  <si>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</si>
  <si>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</si>
  <si>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</si>
  <si>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</si>
  <si>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</si>
  <si>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</si>
  <si>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</si>
  <si>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</si>
  <si>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</si>
  <si>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</si>
  <si>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</si>
  <si>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</si>
  <si>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</si>
  <si>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</si>
  <si>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</si>
  <si>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</si>
  <si>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</si>
  <si>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</si>
  <si>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</si>
  <si>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</si>
  <si>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</si>
  <si>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</si>
  <si>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</si>
  <si>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</si>
  <si>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</si>
  <si>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</si>
  <si>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</si>
  <si>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</si>
  <si>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</si>
  <si>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</si>
  <si>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</si>
  <si>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</si>
  <si>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</si>
  <si>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</si>
  <si>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</si>
  <si>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</si>
  <si>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</si>
  <si>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</si>
  <si>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</si>
  <si>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</si>
  <si>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</si>
  <si>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</si>
  <si>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</si>
  <si>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</si>
  <si>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</si>
  <si>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</si>
  <si>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</si>
  <si>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</si>
  <si>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</si>
  <si>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</si>
  <si>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</si>
  <si>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</si>
  <si>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</si>
  <si>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</si>
  <si>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</si>
  <si>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</si>
  <si>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</si>
  <si>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</si>
  <si>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</si>
  <si>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</si>
  <si>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</si>
  <si>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</si>
  <si>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</si>
  <si>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</si>
  <si>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</si>
  <si>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</si>
  <si>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</si>
  <si>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</si>
  <si>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</si>
  <si>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</si>
  <si>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</si>
  <si>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Capital expenditure runs at 1.1% of revenue against depreciation of 0.8%.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</si>
  <si>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</si>
  <si>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No usable EV/EBITDA (EBITDA is not positive), so the exit multiple falls back to 8x.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</si>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</sst>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0.30892886752971926</v>
      </c>
    </row>
    <row r="7" spans="1:2" x14ac:dyDescent="0.25">
      <c r="A7" t="s">
        <v>5</v>
      </c>
      <c r="B7" s="6">
        <v>0.09787686268914213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0.008107208760625586</v>
      </c>
    </row>
    <row r="10" spans="1:2" x14ac:dyDescent="0.25">
      <c r="A10" t="s">
        <v>8</v>
      </c>
      <c r="B10" s="6">
        <v>0.01069787202436779</v>
      </c>
    </row>
    <row r="11" spans="1:2" x14ac:dyDescent="0.25">
      <c r="A11" t="s">
        <v>9</v>
      </c>
      <c r="B11" s="6">
        <v>0.22274363969069122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0.07535101464600605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0.7701899999999999</v>
      </c>
      <c r="C19" s="8" t="s">
        <v>19</v>
      </c>
    </row>
    <row r="20" spans="1:2" x14ac:dyDescent="0.25">
      <c r="A20" t="s">
        <v>20</v>
      </c>
      <c r="B20" s="10">
        <f>B17+B19*B18</f>
        <v>0.09206235</v>
      </c>
    </row>
    <row r="21" spans="1:3" x14ac:dyDescent="0.25">
      <c r="A21" t="s">
        <v>21</v>
      </c>
      <c r="B21" s="6">
        <v>0.062</v>
      </c>
      <c r="C21" s="8" t="s">
        <v>22</v>
      </c>
    </row>
    <row r="22" spans="1:2" x14ac:dyDescent="0.25">
      <c r="A22" t="s">
        <v>23</v>
      </c>
      <c r="B22" s="11">
        <v>68316712960</v>
      </c>
    </row>
    <row r="23" spans="1:2" x14ac:dyDescent="0.25">
      <c r="A23" t="s">
        <v>24</v>
      </c>
      <c r="B23" s="11">
        <v>39571000000</v>
      </c>
    </row>
    <row r="24" spans="1:2" x14ac:dyDescent="0.25">
      <c r="A24" t="s">
        <v>25</v>
      </c>
      <c r="B24" s="10">
        <f>B22/(B22+B23)</f>
        <v>0.6332205131211635</v>
      </c>
    </row>
    <row r="25" spans="1:2" x14ac:dyDescent="0.25">
      <c r="A25" t="s">
        <v>26</v>
      </c>
      <c r="B25" s="10">
        <f>1-B24</f>
        <v>0.36677948687883655</v>
      </c>
    </row>
    <row r="26" spans="1:2" x14ac:dyDescent="0.25">
      <c r="A26" t="s">
        <v>27</v>
      </c>
      <c r="B26" s="12">
        <f>B24*B20+B25*B21*(1-B8)</f>
        <v>0.07535101464600605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74133000000</v>
      </c>
      <c r="C29" s="8" t="s">
        <v>30</v>
      </c>
    </row>
    <row r="30" spans="1:2" x14ac:dyDescent="0.25">
      <c r="A30" t="s">
        <v>31</v>
      </c>
      <c r="B30" s="11">
        <v>-209488000000</v>
      </c>
    </row>
    <row r="31" spans="1:2" x14ac:dyDescent="0.25">
      <c r="A31" t="s">
        <v>32</v>
      </c>
      <c r="B31" s="13">
        <v>1503178000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0.30892886752971926</v>
      </c>
      <c r="C5" s="10">
        <f>Assumptions!B6</f>
        <v>0.30892886752971926</v>
      </c>
      <c r="D5" s="10">
        <f>Assumptions!B6</f>
        <v>0.30892886752971926</v>
      </c>
      <c r="E5" s="10">
        <f>Assumptions!B6</f>
        <v>0.30892886752971926</v>
      </c>
      <c r="F5" s="10">
        <f>Assumptions!B6</f>
        <v>0.30892886752971926</v>
      </c>
    </row>
    <row r="6" spans="1:6" x14ac:dyDescent="0.25">
      <c r="A6" t="s">
        <v>43</v>
      </c>
      <c r="B6" s="18">
        <f>Assumptions!B29*(1+B5)</f>
        <v>97034823736.58067</v>
      </c>
      <c r="C6" s="18">
        <f>B6*(1+C5)</f>
        <v>127011681944.46846</v>
      </c>
      <c r="D6" s="18">
        <f>C6*(1+D5)</f>
        <v>166249257010.61798</v>
      </c>
      <c r="E6" s="18">
        <f>D6*(1+E5)</f>
        <v>217608451706.56543</v>
      </c>
      <c r="F6" s="18">
        <f>E6*(1+F5)</f>
        <v>284833984257.1703</v>
      </c>
    </row>
    <row r="7" spans="1:6" x14ac:dyDescent="0.25">
      <c r="A7" t="s">
        <v>5</v>
      </c>
      <c r="B7" s="10">
        <f>Assumptions!B7</f>
        <v>0.09787686268914213</v>
      </c>
      <c r="C7" s="10">
        <f>Assumptions!B7</f>
        <v>0.09787686268914213</v>
      </c>
      <c r="D7" s="10">
        <f>Assumptions!B7</f>
        <v>0.09787686268914213</v>
      </c>
      <c r="E7" s="10">
        <f>Assumptions!B7</f>
        <v>0.09787686268914213</v>
      </c>
      <c r="F7" s="10">
        <f>Assumptions!B7</f>
        <v>0.09787686268914213</v>
      </c>
    </row>
    <row r="8" spans="1:6" x14ac:dyDescent="0.25">
      <c r="A8" t="s">
        <v>44</v>
      </c>
      <c r="B8" s="18">
        <f>B6*B7</f>
        <v>9497464118.930416</v>
      </c>
      <c r="C8" s="18">
        <f>C6*C7</f>
        <v>12431504953.595732</v>
      </c>
      <c r="D8" s="18">
        <f>D6*D7</f>
        <v>16271955700.600155</v>
      </c>
      <c r="E8" s="18">
        <f>E6*E7</f>
        <v>21298832547.68032</v>
      </c>
      <c r="F8" s="18">
        <f>F6*F7</f>
        <v>27878656766.34033</v>
      </c>
    </row>
    <row r="9" spans="1:6" x14ac:dyDescent="0.25">
      <c r="A9" t="s">
        <v>45</v>
      </c>
      <c r="B9" s="18">
        <f>B8*(1-Assumptions!B8)</f>
        <v>7123098089.197812</v>
      </c>
      <c r="C9" s="18">
        <f>C8*(1-Assumptions!B8)</f>
        <v>9323628715.196798</v>
      </c>
      <c r="D9" s="18">
        <f>D8*(1-Assumptions!B8)</f>
        <v>12203966775.450115</v>
      </c>
      <c r="E9" s="18">
        <f>E8*(1-Assumptions!B8)</f>
        <v>15974124410.76024</v>
      </c>
      <c r="F9" s="18">
        <f>F8*(1-Assumptions!B8)</f>
        <v>20908992574.755245</v>
      </c>
    </row>
    <row r="10" spans="1:6" x14ac:dyDescent="0.25">
      <c r="A10" t="s">
        <v>46</v>
      </c>
      <c r="B10" s="18">
        <f>B6*Assumptions!B9</f>
        <v>786681573.0829664</v>
      </c>
      <c r="C10" s="18">
        <f>C6*Assumptions!B9</f>
        <v>1029710220.5619853</v>
      </c>
      <c r="D10" s="18">
        <f>D6*Assumptions!B9</f>
        <v>1347817432.8839767</v>
      </c>
      <c r="E10" s="18">
        <f>E6*Assumptions!B9</f>
        <v>1764197146.0616372</v>
      </c>
      <c r="F10" s="18">
        <f>F6*Assumptions!B9</f>
        <v>2309208572.4936213</v>
      </c>
    </row>
    <row r="11" spans="1:6" x14ac:dyDescent="0.25">
      <c r="A11" t="s">
        <v>47</v>
      </c>
      <c r="B11" s="18">
        <f>-B6*Assumptions!B10</f>
        <v>-1038066126.2410259</v>
      </c>
      <c r="C11" s="18">
        <f>-C6*Assumptions!B10</f>
        <v>-1358754719.0416286</v>
      </c>
      <c r="D11" s="18">
        <f>-D6*Assumptions!B10</f>
        <v>-1778513275.6458206</v>
      </c>
      <c r="E11" s="18">
        <f>-E6*Assumptions!B10</f>
        <v>-2327947367.7776556</v>
      </c>
      <c r="F11" s="18">
        <f>-F6*Assumptions!B10</f>
        <v>-3047117511.7739973</v>
      </c>
    </row>
    <row r="12" spans="1:6" x14ac:dyDescent="0.25">
      <c r="A12" t="s">
        <v>48</v>
      </c>
      <c r="B12" s="18">
        <f>-(B6-Assumptions!B29)*Assumptions!B11</f>
        <v>-5101235574.640645</v>
      </c>
      <c r="C12" s="18">
        <f>-(C6-B6)*Assumptions!B11</f>
        <v>-6677154503.716697</v>
      </c>
      <c r="D12" s="18">
        <f>-(D6-C6)*Assumptions!B11</f>
        <v>-8739920282.87086</v>
      </c>
      <c r="E12" s="18">
        <f>-(E6-D6)*Assumptions!B11</f>
        <v>-11439933958.158178</v>
      </c>
      <c r="F12" s="18">
        <f>-(F6-E6)*Assumptions!B11</f>
        <v>-14974059800.466763</v>
      </c>
    </row>
    <row r="13" spans="1:6" x14ac:dyDescent="0.25">
      <c r="A13" s="19" t="s">
        <v>49</v>
      </c>
      <c r="B13" s="20">
        <f>B9+B10+B11+B12</f>
        <v>1770477961.399108</v>
      </c>
      <c r="C13" s="20">
        <f>C9+C10+C11+C12</f>
        <v>2317429713.0004587</v>
      </c>
      <c r="D13" s="20">
        <f>D9+D10+D11+D12</f>
        <v>3033350649.8174114</v>
      </c>
      <c r="E13" s="20">
        <f>E9+E10+E11+E12</f>
        <v>3970440230.8860416</v>
      </c>
      <c r="F13" s="20">
        <f>F9+F10+F11+F12</f>
        <v>5197023835.008106</v>
      </c>
    </row>
    <row r="14" spans="1:6" x14ac:dyDescent="0.25">
      <c r="A14" t="s">
        <v>50</v>
      </c>
      <c r="B14" s="21">
        <f>1/(1+Assumptions!$B$26)^(1-0.5*Assumptions!$B$32)</f>
        <v>0.9643282184333439</v>
      </c>
      <c r="C14" s="21">
        <f>1/(1+Assumptions!$B$26)^(2-0.5*Assumptions!$B$32)</f>
        <v>0.8967566918145238</v>
      </c>
      <c r="D14" s="21">
        <f>1/(1+Assumptions!$B$26)^(3-0.5*Assumptions!$B$32)</f>
        <v>0.8339199755251324</v>
      </c>
      <c r="E14" s="21">
        <f>1/(1+Assumptions!$B$26)^(4-0.5*Assumptions!$B$32)</f>
        <v>0.7754862962580176</v>
      </c>
      <c r="F14" s="21">
        <f>1/(1+Assumptions!$B$26)^(5-0.5*Assumptions!$B$32)</f>
        <v>0.7211471284223405</v>
      </c>
    </row>
    <row r="15" spans="1:6" x14ac:dyDescent="0.25">
      <c r="A15" s="19" t="s">
        <v>51</v>
      </c>
      <c r="B15" s="20">
        <f>B13*B14</f>
        <v>1707321858.2915003</v>
      </c>
      <c r="C15" s="20">
        <f>C13*C14</f>
        <v>2078170602.9429727</v>
      </c>
      <c r="D15" s="20">
        <f>D13*D14</f>
        <v>2529571699.65488</v>
      </c>
      <c r="E15" s="20">
        <f>E13*E14</f>
        <v>3079021989.163645</v>
      </c>
      <c r="F15" s="20">
        <f>F13*F14</f>
        <v>3747818814.958555</v>
      </c>
    </row>
    <row r="17" spans="1:2" x14ac:dyDescent="0.25">
      <c r="A17" s="22" t="s">
        <v>52</v>
      </c>
      <c r="B17" s="23">
        <f>SUM(B15:F15)</f>
        <v>13141904965.011553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5197023835.008106</v>
      </c>
    </row>
    <row r="5" spans="1:2" x14ac:dyDescent="0.25">
      <c r="A5" t="s">
        <v>56</v>
      </c>
      <c r="B5" s="18">
        <f>IF(Assumptions!$B$33=0,B4,B4-Forecast!F11-Forecast!F10-Forecast!F12)</f>
        <v>20908992574.755245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0.3317805356364251</v>
      </c>
    </row>
    <row r="7" spans="1:2" x14ac:dyDescent="0.25">
      <c r="A7" t="s">
        <v>58</v>
      </c>
      <c r="B7" s="18">
        <f>-MAX(Forecast!F9,0)*B6</f>
        <v>-6937196756.070331</v>
      </c>
    </row>
    <row r="8" spans="1:2" x14ac:dyDescent="0.25">
      <c r="A8" t="s">
        <v>59</v>
      </c>
      <c r="B8" s="18">
        <f>IF(OR(Assumptions!$B$33=0,Assumptions!B12&lt;=0),B5,MAX(B5+B7,0))</f>
        <v>13971795818.684914</v>
      </c>
    </row>
    <row r="9" spans="1:2" x14ac:dyDescent="0.25">
      <c r="A9" t="s">
        <v>60</v>
      </c>
      <c r="B9" s="18">
        <f>B8*(1+Assumptions!B12)/(Assumptions!B26-Assumptions!B12)</f>
        <v>284425066998.8835</v>
      </c>
    </row>
    <row r="10" spans="1:2" x14ac:dyDescent="0.25">
      <c r="A10" t="s">
        <v>61</v>
      </c>
      <c r="B10" s="18">
        <f>B9/(1+Assumptions!B26)^(5-0.5*Assumptions!B32)</f>
        <v>205112320317.57663</v>
      </c>
    </row>
    <row r="11" spans="1:2" x14ac:dyDescent="0.25">
      <c r="A11" t="s">
        <v>62</v>
      </c>
      <c r="B11" s="18">
        <f>Forecast!B17+B10</f>
        <v>218254225282.5882</v>
      </c>
    </row>
    <row r="12" spans="1:2" x14ac:dyDescent="0.25">
      <c r="A12" t="s">
        <v>63</v>
      </c>
      <c r="B12" s="18">
        <f>-Assumptions!B30</f>
        <v>209488000000</v>
      </c>
    </row>
    <row r="13" spans="1:2" x14ac:dyDescent="0.25">
      <c r="A13" t="s">
        <v>64</v>
      </c>
      <c r="B13" s="18">
        <f>B11+B12</f>
        <v>427742225282.5882</v>
      </c>
    </row>
    <row r="14" spans="1:2" x14ac:dyDescent="0.25">
      <c r="A14" s="19" t="s">
        <v>65</v>
      </c>
      <c r="B14" s="24">
        <f>B13/Assumptions!B31</f>
        <v>284.55859870393806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30187865338.83395</v>
      </c>
    </row>
    <row r="18" spans="1:2" x14ac:dyDescent="0.25">
      <c r="A18" t="s">
        <v>60</v>
      </c>
      <c r="B18" s="18">
        <f>B17*Assumptions!B13</f>
        <v>241502922710.6716</v>
      </c>
    </row>
    <row r="19" spans="1:2" x14ac:dyDescent="0.25">
      <c r="A19" t="s">
        <v>61</v>
      </c>
      <c r="B19" s="18">
        <f>B18/(1+Assumptions!B26)^(5-0.5*Assumptions!B32)</f>
        <v>174159139218.40326</v>
      </c>
    </row>
    <row r="20" spans="1:2" x14ac:dyDescent="0.25">
      <c r="A20" t="s">
        <v>62</v>
      </c>
      <c r="B20" s="18">
        <f>Forecast!B17+B19</f>
        <v>187301044183.41483</v>
      </c>
    </row>
    <row r="21" spans="1:2" x14ac:dyDescent="0.25">
      <c r="A21" t="s">
        <v>63</v>
      </c>
      <c r="B21" s="18">
        <f>-Assumptions!B30</f>
        <v>209487999999.99997</v>
      </c>
    </row>
    <row r="22" spans="1:2" x14ac:dyDescent="0.25">
      <c r="A22" t="s">
        <v>64</v>
      </c>
      <c r="B22" s="18">
        <f>B20+B21</f>
        <v>396789044183.4148</v>
      </c>
    </row>
    <row r="23" spans="1:2" x14ac:dyDescent="0.25">
      <c r="A23" s="19" t="s">
        <v>65</v>
      </c>
      <c r="B23" s="25">
        <f>B22/Assumptions!B31</f>
        <v>263.9667718549731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45.28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284.55859870393806</v>
      </c>
    </row>
    <row r="29" spans="1:2" x14ac:dyDescent="0.25">
      <c r="A29" s="19" t="s">
        <v>73</v>
      </c>
      <c r="B29" s="12">
        <f>B28/B26-1</f>
        <v>5.284421349468596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0.055351</v>
      </c>
      <c r="B5" s="31">
        <v>360.5815054111803</v>
      </c>
      <c r="C5" s="31">
        <v>367.828106630337</v>
      </c>
      <c r="D5" s="31">
        <v>377.1890691114477</v>
      </c>
      <c r="E5" s="31">
        <v>389.9154448417836</v>
      </c>
      <c r="F5" s="31">
        <v>408.48776051479314</v>
      </c>
    </row>
    <row r="6" spans="1:6" x14ac:dyDescent="0.25">
      <c r="A6" s="30">
        <v>0.065351</v>
      </c>
      <c r="B6" s="31">
        <v>311.1708877596342</v>
      </c>
      <c r="C6" s="31">
        <v>312.1360143311987</v>
      </c>
      <c r="D6" s="31">
        <v>313.14334103014716</v>
      </c>
      <c r="E6" s="31">
        <v>314.21077405179994</v>
      </c>
      <c r="F6" s="31">
        <v>315.3680190019216</v>
      </c>
    </row>
    <row r="7" spans="1:6" x14ac:dyDescent="0.25">
      <c r="A7" s="30">
        <v>0.075351</v>
      </c>
      <c r="B7" s="31">
        <v>283.2273901817154</v>
      </c>
      <c r="C7" s="31">
        <v>283.89301205735995</v>
      </c>
      <c r="D7" s="32">
        <v>284.55863393300444</v>
      </c>
      <c r="E7" s="31">
        <v>285.224255808649</v>
      </c>
      <c r="F7" s="31">
        <v>285.8898776842934</v>
      </c>
    </row>
    <row r="8" spans="1:6" x14ac:dyDescent="0.25">
      <c r="A8" s="30">
        <v>0.085351</v>
      </c>
      <c r="B8" s="31">
        <v>262.29955397784533</v>
      </c>
      <c r="C8" s="31">
        <v>262.8632151762614</v>
      </c>
      <c r="D8" s="31">
        <v>263.4268763746774</v>
      </c>
      <c r="E8" s="31">
        <v>263.9905375730935</v>
      </c>
      <c r="F8" s="31">
        <v>264.5541987715095</v>
      </c>
    </row>
    <row r="9" spans="1:6" x14ac:dyDescent="0.25">
      <c r="A9" s="30">
        <v>0.095351</v>
      </c>
      <c r="B9" s="31">
        <v>245.9378301752082</v>
      </c>
      <c r="C9" s="31">
        <v>246.42197752496423</v>
      </c>
      <c r="D9" s="31">
        <v>246.90612487472018</v>
      </c>
      <c r="E9" s="31">
        <v>247.39027222447615</v>
      </c>
      <c r="F9" s="31">
        <v>247.87441957423218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74133000000</v>
      </c>
      <c r="C5" s="18">
        <v>58527000000</v>
      </c>
      <c r="D5" s="18">
        <v>66939000000</v>
      </c>
      <c r="E5" s="18">
        <v>33057000000</v>
      </c>
      <c r="F5" s="8" t="s">
        <v>84</v>
      </c>
    </row>
    <row r="6" spans="1:6" x14ac:dyDescent="0.25">
      <c r="A6" t="s">
        <v>44</v>
      </c>
      <c r="B6" s="18">
        <v>6363000000</v>
      </c>
      <c r="C6" s="18">
        <v>6041000000</v>
      </c>
      <c r="D6" s="18">
        <v>5574000000</v>
      </c>
      <c r="E6" s="18">
        <v>3940000000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1072000000</v>
      </c>
      <c r="F7" s="8" t="s">
        <v>85</v>
      </c>
    </row>
    <row r="8" spans="1:6" x14ac:dyDescent="0.25">
      <c r="A8" t="s">
        <v>87</v>
      </c>
      <c r="B8" s="18">
        <v>441000000</v>
      </c>
      <c r="C8" s="18">
        <v>378000000</v>
      </c>
      <c r="D8" s="18">
        <v>177000000</v>
      </c>
      <c r="E8" s="18">
        <v>917000000</v>
      </c>
      <c r="F8" s="8" t="s">
        <v>88</v>
      </c>
    </row>
    <row r="9" spans="1:6" x14ac:dyDescent="0.25">
      <c r="A9" t="s">
        <v>89</v>
      </c>
      <c r="B9" s="18">
        <v>-9433000000</v>
      </c>
      <c r="C9" s="18">
        <v>-5966000000</v>
      </c>
      <c r="D9" s="18">
        <v>7547000000</v>
      </c>
      <c r="E9" s="18">
        <v>-2686000000</v>
      </c>
      <c r="F9" s="8" t="s">
        <v>90</v>
      </c>
    </row>
    <row r="10" spans="1:6" x14ac:dyDescent="0.25">
      <c r="A10" t="s">
        <v>91</v>
      </c>
      <c r="B10" s="18">
        <v>39571000000</v>
      </c>
      <c r="C10" s="18">
        <v>37543000000</v>
      </c>
      <c r="D10" s="18">
        <v>35345000000</v>
      </c>
      <c r="E10" s="18">
        <v>36224000000</v>
      </c>
      <c r="F10" s="8" t="s">
        <v>92</v>
      </c>
    </row>
    <row r="11" spans="1:6" x14ac:dyDescent="0.25">
      <c r="A11" t="s">
        <v>93</v>
      </c>
      <c r="B11" s="18">
        <v>249059000000</v>
      </c>
      <c r="C11" s="18">
        <v>246294000000</v>
      </c>
      <c r="D11" s="18">
        <v>230429000000</v>
      </c>
      <c r="E11" s="18">
        <v>228209000000</v>
      </c>
      <c r="F11" s="8" t="s">
        <v>94</v>
      </c>
    </row>
    <row r="12" spans="1:6" x14ac:dyDescent="0.25">
      <c r="A12" t="s">
        <v>32</v>
      </c>
      <c r="B12" s="34">
        <v>1503178000</v>
      </c>
      <c r="C12" s="34">
        <v>1521548502</v>
      </c>
      <c r="D12" s="34">
        <v>1542345040</v>
      </c>
      <c r="E12" s="34">
        <v>1586454988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8" ht="54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0" ht="22" customHeight="1" spans="1:6" x14ac:dyDescent="0.25">
      <c r="A20" s="35" t="s">
        <v>101</v>
      </c>
      <c r="B20" s="35"/>
      <c r="C20" s="35"/>
      <c r="D20" s="35"/>
      <c r="E20" s="35"/>
      <c r="F20" s="35"/>
    </row>
    <row r="22" spans="1:1" x14ac:dyDescent="0.25">
      <c r="A22" s="36" t="s">
        <v>102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