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<sst xmlns="http://schemas.openxmlformats.org/spreadsheetml/2006/main" count="120" uniqueCount="103">
  <si>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GEA Group Aktiengesellschaft (G1A.DE)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</si>
  <si>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</si>
  <si>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</si>
  <si>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</si>
  <si>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</si>
  <si>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</si>
  <si>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</si>
  <si>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</si>
  <si>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</si>
  <si>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</si>
  <si>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</si>
  <si>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</si>
  <si>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</si>
  <si>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</si>
  <si>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</si>
  <si>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</si>
  <si>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</si>
  <si>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</si>
  <si>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</si>
  <si>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</si>
  <si>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</si>
  <si>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</si>
  <si>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17.8%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</si>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</sst>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0.020899955764469347</v>
      </c>
    </row>
    <row r="7" spans="1:2" x14ac:dyDescent="0.25">
      <c r="A7" t="s">
        <v>5</v>
      </c>
      <c r="B7" s="6">
        <v>0.09663919946643738</v>
      </c>
    </row>
    <row r="8" spans="1:2" x14ac:dyDescent="0.25">
      <c r="A8" t="s">
        <v>6</v>
      </c>
      <c r="B8" s="6">
        <v>0.2148733905374265</v>
      </c>
    </row>
    <row r="9" spans="1:2" x14ac:dyDescent="0.25">
      <c r="A9" t="s">
        <v>7</v>
      </c>
      <c r="B9" s="6">
        <v>0.03891190051221999</v>
      </c>
    </row>
    <row r="10" spans="1:2" x14ac:dyDescent="0.25">
      <c r="A10" t="s">
        <v>8</v>
      </c>
      <c r="B10" s="6">
        <v>0.04303585809359724</v>
      </c>
    </row>
    <row r="11" spans="1:2" x14ac:dyDescent="0.25">
      <c r="A11" t="s">
        <v>9</v>
      </c>
      <c r="B11" s="6">
        <v>-0.9124639818646127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0.1629009673486424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0.83317</v>
      </c>
      <c r="C19" s="8" t="s">
        <v>19</v>
      </c>
    </row>
    <row r="20" spans="1:2" x14ac:dyDescent="0.25">
      <c r="A20" t="s">
        <v>20</v>
      </c>
      <c r="B20" s="10">
        <f>B17+B19*B18</f>
        <v>0.0759902</v>
      </c>
    </row>
    <row r="21" spans="1:3" x14ac:dyDescent="0.25">
      <c r="A21" t="s">
        <v>21</v>
      </c>
      <c r="B21" s="6">
        <v>0.046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246984000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0.03611582403527838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5495356000</v>
      </c>
      <c r="C29" s="8" t="s">
        <v>30</v>
      </c>
    </row>
    <row r="30" spans="1:2" x14ac:dyDescent="0.25">
      <c r="A30" t="s">
        <v>31</v>
      </c>
      <c r="B30" s="11">
        <v>-366053000</v>
      </c>
    </row>
    <row r="31" spans="1:2" x14ac:dyDescent="0.25">
      <c r="A31" t="s">
        <v>32</v>
      </c>
      <c r="B31" s="13">
        <v>163100000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0.020899955764469347</v>
      </c>
      <c r="C5" s="10">
        <f>Assumptions!B6</f>
        <v>0.020899955764469347</v>
      </c>
      <c r="D5" s="10">
        <f>Assumptions!B6</f>
        <v>0.020899955764469347</v>
      </c>
      <c r="E5" s="10">
        <f>Assumptions!B6</f>
        <v>0.020899955764469347</v>
      </c>
      <c r="F5" s="10">
        <f>Assumptions!B6</f>
        <v>0.020899955764469347</v>
      </c>
    </row>
    <row r="6" spans="1:6" x14ac:dyDescent="0.25">
      <c r="A6" t="s">
        <v>43</v>
      </c>
      <c r="B6" s="18">
        <f>Assumptions!B29*(1+B5)</f>
        <v>5610208697.310011</v>
      </c>
      <c r="C6" s="18">
        <f>B6*(1+C5)</f>
        <v>5727461810.913231</v>
      </c>
      <c r="D6" s="18">
        <f>C6*(1+D5)</f>
        <v>5847165509.404005</v>
      </c>
      <c r="E6" s="18">
        <f>D6*(1+E5)</f>
        <v>5969371009.89808</v>
      </c>
      <c r="F6" s="18">
        <f>E6*(1+F5)</f>
        <v>6094130599.946655</v>
      </c>
    </row>
    <row r="7" spans="1:6" x14ac:dyDescent="0.25">
      <c r="A7" t="s">
        <v>5</v>
      </c>
      <c r="B7" s="10">
        <f>Assumptions!B7</f>
        <v>0.09663919946643738</v>
      </c>
      <c r="C7" s="10">
        <f>Assumptions!B7</f>
        <v>0.09663919946643738</v>
      </c>
      <c r="D7" s="10">
        <f>Assumptions!B7</f>
        <v>0.09663919946643738</v>
      </c>
      <c r="E7" s="10">
        <f>Assumptions!B7</f>
        <v>0.09663919946643738</v>
      </c>
      <c r="F7" s="10">
        <f>Assumptions!B7</f>
        <v>0.09663919946643738</v>
      </c>
    </row>
    <row r="8" spans="1:6" x14ac:dyDescent="0.25">
      <c r="A8" t="s">
        <v>44</v>
      </c>
      <c r="B8" s="18">
        <f>B6*B7</f>
        <v>542166077.347684</v>
      </c>
      <c r="C8" s="18">
        <f>C6*C7</f>
        <v>553497324.3812464</v>
      </c>
      <c r="D8" s="18">
        <f>D6*D7</f>
        <v>565065393.9765666</v>
      </c>
      <c r="E8" s="18">
        <f>E6*E7</f>
        <v>576875235.7147093</v>
      </c>
      <c r="F8" s="18">
        <f>F6*F7</f>
        <v>588931902.6227646</v>
      </c>
    </row>
    <row r="9" spans="1:6" x14ac:dyDescent="0.25">
      <c r="A9" t="s">
        <v>45</v>
      </c>
      <c r="B9" s="18">
        <f>B8*(1-Assumptions!B8)</f>
        <v>425669014.07361054</v>
      </c>
      <c r="C9" s="18">
        <f>C8*(1-Assumptions!B8)</f>
        <v>434565477.63805425</v>
      </c>
      <c r="D9" s="18">
        <f>D8*(1-Assumptions!B8)</f>
        <v>443647876.897455</v>
      </c>
      <c r="E9" s="18">
        <f>E8*(1-Assumptions!B8)</f>
        <v>452920097.8996126</v>
      </c>
      <c r="F9" s="18">
        <f>F8*(1-Assumptions!B8)</f>
        <v>462386107.9105537</v>
      </c>
    </row>
    <row r="10" spans="1:6" x14ac:dyDescent="0.25">
      <c r="A10" t="s">
        <v>46</v>
      </c>
      <c r="B10" s="18">
        <f>B6*Assumptions!B9</f>
        <v>218303882.68251845</v>
      </c>
      <c r="C10" s="18">
        <f>C6*Assumptions!B9</f>
        <v>222866424.17379496</v>
      </c>
      <c r="D10" s="18">
        <f>D6*Assumptions!B9</f>
        <v>227524322.58041275</v>
      </c>
      <c r="E10" s="18">
        <f>E6*Assumptions!B9</f>
        <v>232279570.85768425</v>
      </c>
      <c r="F10" s="18">
        <f>F6*Assumptions!B9</f>
        <v>237134203.61359975</v>
      </c>
    </row>
    <row r="11" spans="1:6" x14ac:dyDescent="0.25">
      <c r="A11" t="s">
        <v>47</v>
      </c>
      <c r="B11" s="18">
        <f>-B6*Assumptions!B10</f>
        <v>-241440145.37289864</v>
      </c>
      <c r="C11" s="18">
        <f>-C6*Assumptions!B10</f>
        <v>-246486233.73095927</v>
      </c>
      <c r="D11" s="18">
        <f>-D6*Assumptions!B10</f>
        <v>-251637785.11248696</v>
      </c>
      <c r="E11" s="18">
        <f>-E6*Assumptions!B10</f>
        <v>-256897003.690007</v>
      </c>
      <c r="F11" s="18">
        <f>-F6*Assumptions!B10</f>
        <v>-262266139.70315287</v>
      </c>
    </row>
    <row r="12" spans="1:6" x14ac:dyDescent="0.25">
      <c r="A12" t="s">
        <v>48</v>
      </c>
      <c r="B12" s="18">
        <f>-(B6-Assumptions!B29)*Assumptions!B11</f>
        <v>104798949.51538365</v>
      </c>
      <c r="C12" s="18">
        <f>-(C6-B6)*Assumptions!B11</f>
        <v>106989242.9244179</v>
      </c>
      <c r="D12" s="18">
        <f>-(D6-C6)*Assumptions!B11</f>
        <v>109225313.36881281</v>
      </c>
      <c r="E12" s="18">
        <f>-(E6-D6)*Assumptions!B11</f>
        <v>111508117.58658141</v>
      </c>
      <c r="F12" s="18">
        <f>-(F6-E6)*Assumptions!B11</f>
        <v>113838632.31151983</v>
      </c>
    </row>
    <row r="13" spans="1:6" x14ac:dyDescent="0.25">
      <c r="A13" s="19" t="s">
        <v>49</v>
      </c>
      <c r="B13" s="20">
        <f>B9+B10+B11+B12</f>
        <v>507331700.89861405</v>
      </c>
      <c r="C13" s="20">
        <f>C9+C10+C11+C12</f>
        <v>517934911.00530785</v>
      </c>
      <c r="D13" s="20">
        <f>D9+D10+D11+D12</f>
        <v>528759727.73419356</v>
      </c>
      <c r="E13" s="20">
        <f>E9+E10+E11+E12</f>
        <v>539810782.6538713</v>
      </c>
      <c r="F13" s="20">
        <f>F9+F10+F11+F12</f>
        <v>551092804.1325204</v>
      </c>
    </row>
    <row r="14" spans="1:6" x14ac:dyDescent="0.25">
      <c r="A14" t="s">
        <v>50</v>
      </c>
      <c r="B14" s="21">
        <f>1/(1+Assumptions!$B$26)^(1-0.5*Assumptions!$B$32)</f>
        <v>0.9824169496547501</v>
      </c>
      <c r="C14" s="21">
        <f>1/(1+Assumptions!$B$26)^(2-0.5*Assumptions!$B$32)</f>
        <v>0.9481729039023925</v>
      </c>
      <c r="D14" s="21">
        <f>1/(1+Assumptions!$B$26)^(3-0.5*Assumptions!$B$32)</f>
        <v>0.9151225006965134</v>
      </c>
      <c r="E14" s="21">
        <f>1/(1+Assumptions!$B$26)^(4-0.5*Assumptions!$B$32)</f>
        <v>0.8832241333140325</v>
      </c>
      <c r="F14" s="21">
        <f>1/(1+Assumptions!$B$26)^(5-0.5*Assumptions!$B$32)</f>
        <v>0.8524376453147963</v>
      </c>
    </row>
    <row r="15" spans="1:6" x14ac:dyDescent="0.25">
      <c r="A15" s="19" t="s">
        <v>51</v>
      </c>
      <c r="B15" s="20">
        <f>B13*B14</f>
        <v>498411262.05997247</v>
      </c>
      <c r="C15" s="20">
        <f>C13*C14</f>
        <v>491091848.60033</v>
      </c>
      <c r="D15" s="20">
        <f>D13*D14</f>
        <v>483879924.31172276</v>
      </c>
      <c r="E15" s="20">
        <f>E13*E14</f>
        <v>476773910.66303504</v>
      </c>
      <c r="F15" s="20">
        <f>F13*F14</f>
        <v>469772252.30465394</v>
      </c>
    </row>
    <row r="17" spans="1:2" x14ac:dyDescent="0.25">
      <c r="A17" s="22" t="s">
        <v>52</v>
      </c>
      <c r="B17" s="23">
        <f>SUM(B15:F15)</f>
        <v>2419929197.9397144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551092804.1325204</v>
      </c>
    </row>
    <row r="5" spans="1:2" x14ac:dyDescent="0.25">
      <c r="A5" t="s">
        <v>56</v>
      </c>
      <c r="B5" s="18">
        <f>IF(Assumptions!$B$33=0,B4,B4-Forecast!F11-Forecast!F10-Forecast!F12)</f>
        <v>462386107.9105537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0.15346747417708534</v>
      </c>
    </row>
    <row r="7" spans="1:2" x14ac:dyDescent="0.25">
      <c r="A7" t="s">
        <v>58</v>
      </c>
      <c r="B7" s="18">
        <f>-MAX(Forecast!F9,0)*B6</f>
        <v>-70961228.0756059</v>
      </c>
    </row>
    <row r="8" spans="1:2" x14ac:dyDescent="0.25">
      <c r="A8" t="s">
        <v>59</v>
      </c>
      <c r="B8" s="18">
        <f>IF(OR(Assumptions!$B$33=0,Assumptions!B12&lt;=0),B5,MAX(B5+B7,0))</f>
        <v>391424879.8349478</v>
      </c>
    </row>
    <row r="9" spans="1:2" x14ac:dyDescent="0.25">
      <c r="A9" t="s">
        <v>60</v>
      </c>
      <c r="B9" s="18">
        <f>B8*(1+Assumptions!B12)/(Assumptions!B26-Assumptions!B12)</f>
        <v>36093635573.70974</v>
      </c>
    </row>
    <row r="10" spans="1:2" x14ac:dyDescent="0.25">
      <c r="A10" t="s">
        <v>61</v>
      </c>
      <c r="B10" s="18">
        <f>B9/(1+Assumptions!B26)^(5-0.5*Assumptions!B32)</f>
        <v>30767573719.303497</v>
      </c>
    </row>
    <row r="11" spans="1:2" x14ac:dyDescent="0.25">
      <c r="A11" t="s">
        <v>62</v>
      </c>
      <c r="B11" s="18">
        <f>Forecast!B17+B10</f>
        <v>33187502917.24321</v>
      </c>
    </row>
    <row r="12" spans="1:2" x14ac:dyDescent="0.25">
      <c r="A12" t="s">
        <v>63</v>
      </c>
      <c r="B12" s="18">
        <f>-Assumptions!B30</f>
        <v>366053000</v>
      </c>
    </row>
    <row r="13" spans="1:2" x14ac:dyDescent="0.25">
      <c r="A13" t="s">
        <v>64</v>
      </c>
      <c r="B13" s="18">
        <f>B11+B12</f>
        <v>33553555917.24321</v>
      </c>
    </row>
    <row r="14" spans="1:2" x14ac:dyDescent="0.25">
      <c r="A14" s="19" t="s">
        <v>65</v>
      </c>
      <c r="B14" s="24">
        <f>B13/Assumptions!B31</f>
        <v>205.72382536629803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826066106.2363644</v>
      </c>
    </row>
    <row r="18" spans="1:2" x14ac:dyDescent="0.25">
      <c r="A18" t="s">
        <v>60</v>
      </c>
      <c r="B18" s="18">
        <f>B17*Assumptions!B13</f>
        <v>6608528849.890915</v>
      </c>
    </row>
    <row r="19" spans="1:2" x14ac:dyDescent="0.25">
      <c r="A19" t="s">
        <v>61</v>
      </c>
      <c r="B19" s="18">
        <f>B18/(1+Assumptions!B26)^(5-0.5*Assumptions!B32)</f>
        <v>5633358771.79591</v>
      </c>
    </row>
    <row r="20" spans="1:2" x14ac:dyDescent="0.25">
      <c r="A20" t="s">
        <v>62</v>
      </c>
      <c r="B20" s="18">
        <f>Forecast!B17+B19</f>
        <v>8053287969.735624</v>
      </c>
    </row>
    <row r="21" spans="1:2" x14ac:dyDescent="0.25">
      <c r="A21" t="s">
        <v>63</v>
      </c>
      <c r="B21" s="18">
        <f>-Assumptions!B30</f>
        <v>366053000</v>
      </c>
    </row>
    <row r="22" spans="1:2" x14ac:dyDescent="0.25">
      <c r="A22" t="s">
        <v>64</v>
      </c>
      <c r="B22" s="18">
        <f>B20+B21</f>
        <v>8419340969.735624</v>
      </c>
    </row>
    <row r="23" spans="1:2" x14ac:dyDescent="0.25">
      <c r="A23" s="19" t="s">
        <v>65</v>
      </c>
      <c r="B23" s="25">
        <f>B22/Assumptions!B31</f>
        <v>51.62072942817673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205.72382536629803</v>
      </c>
    </row>
    <row r="29" spans="1:2" x14ac:dyDescent="0.25">
      <c r="A29" s="19" t="s">
        <v>73</v>
      </c>
      <c r="B29" s="12">
        <f>B28/B26-1</f>
        <v>2.189516672345706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0.016116</v>
      </c>
      <c r="B5" s="31">
        <v>2196.30745928479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0.026116</v>
      </c>
      <c r="B6" s="31">
        <v>226.72449908182057</v>
      </c>
      <c r="C6" s="31">
        <v>386.76953772485194</v>
      </c>
      <c r="D6" s="31">
        <v>1980.2156019449892</v>
      </c>
      <c r="E6" s="31" t="s">
        <v>76</v>
      </c>
      <c r="F6" s="31" t="s">
        <v>76</v>
      </c>
    </row>
    <row r="7" spans="1:6" x14ac:dyDescent="0.25">
      <c r="A7" s="30">
        <v>0.036116</v>
      </c>
      <c r="B7" s="31">
        <v>122.5480053849937</v>
      </c>
      <c r="C7" s="31">
        <v>151.25516913512817</v>
      </c>
      <c r="D7" s="32">
        <v>205.72068879304666</v>
      </c>
      <c r="E7" s="31">
        <v>349.1190801561265</v>
      </c>
      <c r="F7" s="31">
        <v>1776.7846403367546</v>
      </c>
    </row>
    <row r="8" spans="1:6" x14ac:dyDescent="0.25">
      <c r="A8" s="30">
        <v>0.046116</v>
      </c>
      <c r="B8" s="31">
        <v>85.27911407271246</v>
      </c>
      <c r="C8" s="31">
        <v>96.02997872260171</v>
      </c>
      <c r="D8" s="31">
        <v>111.83853759446828</v>
      </c>
      <c r="E8" s="31">
        <v>137.41224994182775</v>
      </c>
      <c r="F8" s="31">
        <v>185.9282750065294</v>
      </c>
    </row>
    <row r="9" spans="1:6" x14ac:dyDescent="0.25">
      <c r="A9" s="30">
        <v>0.056116</v>
      </c>
      <c r="B9" s="31">
        <v>66.10150227554696</v>
      </c>
      <c r="C9" s="31">
        <v>71.33855755754729</v>
      </c>
      <c r="D9" s="31">
        <v>78.23681441606382</v>
      </c>
      <c r="E9" s="31">
        <v>87.75040149437055</v>
      </c>
      <c r="F9" s="31">
        <v>101.73714950362739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5495356000</v>
      </c>
      <c r="C5" s="18">
        <v>5422129000</v>
      </c>
      <c r="D5" s="18">
        <v>5373491000</v>
      </c>
      <c r="E5" s="18">
        <v>5164714000</v>
      </c>
      <c r="F5" s="8" t="s">
        <v>85</v>
      </c>
    </row>
    <row r="6" spans="1:6" x14ac:dyDescent="0.25">
      <c r="A6" t="s">
        <v>44</v>
      </c>
      <c r="B6" s="18">
        <v>594299000</v>
      </c>
      <c r="C6" s="18">
        <v>538309000</v>
      </c>
      <c r="D6" s="18">
        <v>504902000</v>
      </c>
      <c r="E6" s="18">
        <v>439876000</v>
      </c>
      <c r="F6" s="8" t="s">
        <v>86</v>
      </c>
    </row>
    <row r="7" spans="1:6" x14ac:dyDescent="0.25">
      <c r="A7" t="s">
        <v>87</v>
      </c>
      <c r="B7" s="18">
        <v>229398000</v>
      </c>
      <c r="C7" s="18">
        <v>219089000</v>
      </c>
      <c r="D7" s="18">
        <v>194067000</v>
      </c>
      <c r="E7" s="18">
        <v>193065000</v>
      </c>
      <c r="F7" s="8" t="s">
        <v>88</v>
      </c>
    </row>
    <row r="8" spans="1:6" x14ac:dyDescent="0.25">
      <c r="A8" t="s">
        <v>89</v>
      </c>
      <c r="B8" s="18">
        <v>255292000</v>
      </c>
      <c r="C8" s="18">
        <v>237105000</v>
      </c>
      <c r="D8" s="18">
        <v>228362000</v>
      </c>
      <c r="E8" s="18">
        <v>203802000</v>
      </c>
      <c r="F8" s="8" t="s">
        <v>90</v>
      </c>
    </row>
    <row r="9" spans="1:6" x14ac:dyDescent="0.25">
      <c r="A9" t="s">
        <v>91</v>
      </c>
      <c r="B9" s="18">
        <v>-66817000</v>
      </c>
      <c r="C9" s="18">
        <v>-93362000</v>
      </c>
      <c r="D9" s="18">
        <v>4357000</v>
      </c>
      <c r="E9" s="18">
        <v>49358000</v>
      </c>
      <c r="F9" s="8" t="s">
        <v>92</v>
      </c>
    </row>
    <row r="10" spans="1:6" x14ac:dyDescent="0.25">
      <c r="A10" t="s">
        <v>93</v>
      </c>
      <c r="B10" s="18">
        <v>246984000</v>
      </c>
      <c r="C10" s="18">
        <v>294776000</v>
      </c>
      <c r="D10" s="18">
        <v>256693000</v>
      </c>
      <c r="E10" s="18">
        <v>372371000</v>
      </c>
      <c r="F10" s="8" t="s">
        <v>94</v>
      </c>
    </row>
    <row r="11" spans="1:6" x14ac:dyDescent="0.25">
      <c r="A11" t="s">
        <v>95</v>
      </c>
      <c r="B11" s="18">
        <v>613037000</v>
      </c>
      <c r="C11" s="18">
        <v>657739000</v>
      </c>
      <c r="D11" s="18">
        <v>661553000</v>
      </c>
      <c r="E11" s="18">
        <v>752796000</v>
      </c>
      <c r="F11" s="8" t="s">
        <v>96</v>
      </c>
    </row>
    <row r="12" spans="1:6" x14ac:dyDescent="0.25">
      <c r="A12" t="s">
        <v>32</v>
      </c>
      <c r="B12" s="34">
        <v>163100000</v>
      </c>
      <c r="C12" s="34">
        <v>167600000</v>
      </c>
      <c r="D12" s="34">
        <v>172200000</v>
      </c>
      <c r="E12" s="34">
        <v>175900000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