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<sst xmlns="http://schemas.openxmlformats.org/spreadsheetml/2006/main" count="112" uniqueCount="100">
  <si>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Scout24 SE (G24.DE)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</si>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</sst>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0.13221703501409077</v>
      </c>
    </row>
    <row r="7" spans="1:2" x14ac:dyDescent="0.25">
      <c r="A7" t="s">
        <v>5</v>
      </c>
      <c r="B7" s="6">
        <v>0.453839785908293</v>
      </c>
    </row>
    <row r="8" spans="1:2" x14ac:dyDescent="0.25">
      <c r="A8" t="s">
        <v>6</v>
      </c>
      <c r="B8" s="6">
        <v>0.2780316529279744</v>
      </c>
    </row>
    <row r="9" spans="1:2" x14ac:dyDescent="0.25">
      <c r="A9" t="s">
        <v>7</v>
      </c>
      <c r="B9" s="6">
        <v>0.08134652480527194</v>
      </c>
    </row>
    <row r="10" spans="1:2" x14ac:dyDescent="0.25">
      <c r="A10" t="s">
        <v>8</v>
      </c>
      <c r="B10" s="6">
        <v>0.04758918987324004</v>
      </c>
    </row>
    <row r="11" spans="1:2" x14ac:dyDescent="0.25">
      <c r="A11" t="s">
        <v>9</v>
      </c>
      <c r="B11" s="6">
        <v>-0.3713245454873169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15.335045943808044</v>
      </c>
    </row>
    <row r="14" spans="1:3" x14ac:dyDescent="0.25">
      <c r="A14" t="s">
        <v>12</v>
      </c>
      <c r="B14" s="6">
        <v>0.1147691565437517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0.72597</v>
      </c>
      <c r="C19" s="8" t="s">
        <v>19</v>
      </c>
    </row>
    <row r="20" spans="1:2" x14ac:dyDescent="0.25">
      <c r="A20" t="s">
        <v>20</v>
      </c>
      <c r="B20" s="10">
        <f>B17+B19*B18</f>
        <v>0.0695582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5135967232</v>
      </c>
    </row>
    <row r="23" spans="1:2" x14ac:dyDescent="0.25">
      <c r="A23" t="s">
        <v>24</v>
      </c>
      <c r="B23" s="11">
        <v>149441000</v>
      </c>
    </row>
    <row r="24" spans="1:2" x14ac:dyDescent="0.25">
      <c r="A24" t="s">
        <v>25</v>
      </c>
      <c r="B24" s="10">
        <f>B22/(B22+B23)</f>
        <v>0.9717257412407193</v>
      </c>
    </row>
    <row r="25" spans="1:2" x14ac:dyDescent="0.25">
      <c r="A25" t="s">
        <v>26</v>
      </c>
      <c r="B25" s="10">
        <f>1-B24</f>
        <v>0.02827425875928069</v>
      </c>
    </row>
    <row r="26" spans="1:2" x14ac:dyDescent="0.25">
      <c r="A26" t="s">
        <v>27</v>
      </c>
      <c r="B26" s="12">
        <f>B24*B20+B25*B21*(1-B8)</f>
        <v>0.06812223457075944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649561000</v>
      </c>
      <c r="C29" s="8" t="s">
        <v>30</v>
      </c>
    </row>
    <row r="30" spans="1:2" x14ac:dyDescent="0.25">
      <c r="A30" t="s">
        <v>31</v>
      </c>
      <c r="B30" s="11">
        <v>98344000</v>
      </c>
    </row>
    <row r="31" spans="1:2" x14ac:dyDescent="0.25">
      <c r="A31" t="s">
        <v>32</v>
      </c>
      <c r="B31" s="13">
        <v>72118516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0.13221703501409077</v>
      </c>
      <c r="C5" s="10">
        <f>Assumptions!B6</f>
        <v>0.13221703501409077</v>
      </c>
      <c r="D5" s="10">
        <f>Assumptions!B6</f>
        <v>0.13221703501409077</v>
      </c>
      <c r="E5" s="10">
        <f>Assumptions!B6</f>
        <v>0.13221703501409077</v>
      </c>
      <c r="F5" s="10">
        <f>Assumptions!B6</f>
        <v>0.13221703501409077</v>
      </c>
    </row>
    <row r="6" spans="1:6" x14ac:dyDescent="0.25">
      <c r="A6" t="s">
        <v>43</v>
      </c>
      <c r="B6" s="18">
        <f>Assumptions!B29*(1+B5)</f>
        <v>735444029.4807878</v>
      </c>
      <c r="C6" s="18">
        <f>B6*(1+C5)</f>
        <v>832682258.4775531</v>
      </c>
      <c r="D6" s="18">
        <f>C6*(1+D5)</f>
        <v>942777037.802292</v>
      </c>
      <c r="E6" s="18">
        <f>D6*(1+E5)</f>
        <v>1067428222.4198784</v>
      </c>
      <c r="F6" s="18">
        <f>E6*(1+F5)</f>
        <v>1208560417.078596</v>
      </c>
    </row>
    <row r="7" spans="1:6" x14ac:dyDescent="0.25">
      <c r="A7" t="s">
        <v>5</v>
      </c>
      <c r="B7" s="10">
        <f>Assumptions!B7</f>
        <v>0.453839785908293</v>
      </c>
      <c r="C7" s="10">
        <f>Assumptions!B7</f>
        <v>0.453839785908293</v>
      </c>
      <c r="D7" s="10">
        <f>Assumptions!B7</f>
        <v>0.453839785908293</v>
      </c>
      <c r="E7" s="10">
        <f>Assumptions!B7</f>
        <v>0.453839785908293</v>
      </c>
      <c r="F7" s="10">
        <f>Assumptions!B7</f>
        <v>0.453839785908293</v>
      </c>
    </row>
    <row r="8" spans="1:6" x14ac:dyDescent="0.25">
      <c r="A8" t="s">
        <v>44</v>
      </c>
      <c r="B8" s="18">
        <f>B6*B7</f>
        <v>333773760.887093</v>
      </c>
      <c r="C8" s="18">
        <f>C6*C7</f>
        <v>377904337.9170866</v>
      </c>
      <c r="D8" s="18">
        <f>D6*D7</f>
        <v>427869728.99544686</v>
      </c>
      <c r="E8" s="18">
        <f>E6*E7</f>
        <v>484441395.93550736</v>
      </c>
      <c r="F8" s="18">
        <f>F6*F7</f>
        <v>548492800.9441874</v>
      </c>
    </row>
    <row r="9" spans="1:6" x14ac:dyDescent="0.25">
      <c r="A9" t="s">
        <v>45</v>
      </c>
      <c r="B9" s="18">
        <f>B8*(1-Assumptions!B8)</f>
        <v>240974090.44366807</v>
      </c>
      <c r="C9" s="18">
        <f>C8*(1-Assumptions!B8)</f>
        <v>272834970.1973472</v>
      </c>
      <c r="D9" s="18">
        <f>D8*(1-Assumptions!B8)</f>
        <v>308908401.0049983</v>
      </c>
      <c r="E9" s="18">
        <f>E8*(1-Assumptions!B8)</f>
        <v>349751353.87682295</v>
      </c>
      <c r="F9" s="18">
        <f>F8*(1-Assumptions!B8)</f>
        <v>395994440.8785806</v>
      </c>
    </row>
    <row r="10" spans="1:6" x14ac:dyDescent="0.25">
      <c r="A10" t="s">
        <v>46</v>
      </c>
      <c r="B10" s="18">
        <f>B6*Assumptions!B9</f>
        <v>59825815.987048045</v>
      </c>
      <c r="C10" s="18">
        <f>C6*Assumptions!B9</f>
        <v>67735807.99415414</v>
      </c>
      <c r="D10" s="18">
        <f>D6*Assumptions!B9</f>
        <v>76691635.69142494</v>
      </c>
      <c r="E10" s="18">
        <f>E6*Assumptions!B9</f>
        <v>86831576.37292597</v>
      </c>
      <c r="F10" s="18">
        <f>F6*Assumptions!B9</f>
        <v>98312189.94655381</v>
      </c>
    </row>
    <row r="11" spans="1:6" x14ac:dyDescent="0.25">
      <c r="A11" t="s">
        <v>47</v>
      </c>
      <c r="B11" s="18">
        <f>-B6*Assumptions!B10</f>
        <v>-34999185.560101956</v>
      </c>
      <c r="C11" s="18">
        <f>-C6*Assumptions!B10</f>
        <v>-39626674.10276662</v>
      </c>
      <c r="D11" s="18">
        <f>-D6*Assumptions!B10</f>
        <v>-44865995.46010408</v>
      </c>
      <c r="E11" s="18">
        <f>-E6*Assumptions!B10</f>
        <v>-50798044.35279469</v>
      </c>
      <c r="F11" s="18">
        <f>-F6*Assumptions!B10</f>
        <v>-57514411.16163549</v>
      </c>
    </row>
    <row r="12" spans="1:6" x14ac:dyDescent="0.25">
      <c r="A12" t="s">
        <v>48</v>
      </c>
      <c r="B12" s="18">
        <f>-(B6-Assumptions!B29)*Assumptions!B11</f>
        <v>31890476.887027353</v>
      </c>
      <c r="C12" s="18">
        <f>-(C6-B6)*Assumptions!B11</f>
        <v>36106941.18621554</v>
      </c>
      <c r="D12" s="18">
        <f>-(D6-C6)*Assumptions!B11</f>
        <v>40880893.89328511</v>
      </c>
      <c r="E12" s="18">
        <f>-(E6-D6)*Assumptions!B11</f>
        <v>46286044.47258089</v>
      </c>
      <c r="F12" s="18">
        <f>-(F6-E6)*Assumptions!B11</f>
        <v>52405848.03527591</v>
      </c>
    </row>
    <row r="13" spans="1:6" x14ac:dyDescent="0.25">
      <c r="A13" s="19" t="s">
        <v>49</v>
      </c>
      <c r="B13" s="20">
        <f>B9+B10+B11+B12</f>
        <v>297691197.7576415</v>
      </c>
      <c r="C13" s="20">
        <f>C9+C10+C11+C12</f>
        <v>337051045.27495027</v>
      </c>
      <c r="D13" s="20">
        <f>D9+D10+D11+D12</f>
        <v>381614935.1296043</v>
      </c>
      <c r="E13" s="20">
        <f>E9+E10+E11+E12</f>
        <v>432070930.36953515</v>
      </c>
      <c r="F13" s="20">
        <f>F9+F10+F11+F12</f>
        <v>489198067.6987748</v>
      </c>
    </row>
    <row r="14" spans="1:6" x14ac:dyDescent="0.25">
      <c r="A14" t="s">
        <v>50</v>
      </c>
      <c r="B14" s="21">
        <f>1/(1+Assumptions!$B$26)^(1-0.5*Assumptions!$B$32)</f>
        <v>0.9675858802347368</v>
      </c>
      <c r="C14" s="21">
        <f>1/(1+Assumptions!$B$26)^(2-0.5*Assumptions!$B$32)</f>
        <v>0.9058756094742053</v>
      </c>
      <c r="D14" s="21">
        <f>1/(1+Assumptions!$B$26)^(3-0.5*Assumptions!$B$32)</f>
        <v>0.8481010694794165</v>
      </c>
      <c r="E14" s="21">
        <f>1/(1+Assumptions!$B$26)^(4-0.5*Assumptions!$B$32)</f>
        <v>0.7940112489281138</v>
      </c>
      <c r="F14" s="21">
        <f>1/(1+Assumptions!$B$26)^(5-0.5*Assumptions!$B$32)</f>
        <v>0.7433711453888037</v>
      </c>
    </row>
    <row r="15" spans="1:6" x14ac:dyDescent="0.25">
      <c r="A15" s="19" t="s">
        <v>51</v>
      </c>
      <c r="B15" s="20">
        <f>B13*B14</f>
        <v>288041799.6204606</v>
      </c>
      <c r="C15" s="20">
        <f>C13*C14</f>
        <v>305326321.06236356</v>
      </c>
      <c r="D15" s="20">
        <f>D13*D14</f>
        <v>323648034.61273557</v>
      </c>
      <c r="E15" s="20">
        <f>E13*E14</f>
        <v>343069179.0482467</v>
      </c>
      <c r="F15" s="20">
        <f>F13*F14</f>
        <v>363655727.90722775</v>
      </c>
    </row>
    <row r="17" spans="1:2" x14ac:dyDescent="0.25">
      <c r="A17" s="22" t="s">
        <v>52</v>
      </c>
      <c r="B17" s="23">
        <f>SUM(B15:F15)</f>
        <v>1623741062.251034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489198067.6987748</v>
      </c>
    </row>
    <row r="5" spans="1:2" x14ac:dyDescent="0.25">
      <c r="A5" t="s">
        <v>56</v>
      </c>
      <c r="B5" s="18">
        <f>IF(Assumptions!$B$33=0,B4,B4-Forecast!F11-Forecast!F10-Forecast!F12)</f>
        <v>395994440.8785806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0.21782855910829696</v>
      </c>
    </row>
    <row r="7" spans="1:2" x14ac:dyDescent="0.25">
      <c r="A7" t="s">
        <v>58</v>
      </c>
      <c r="B7" s="18">
        <f>-MAX(Forecast!F9,0)*B6</f>
        <v>-86258898.4714769</v>
      </c>
    </row>
    <row r="8" spans="1:2" x14ac:dyDescent="0.25">
      <c r="A8" t="s">
        <v>59</v>
      </c>
      <c r="B8" s="18">
        <f>IF(OR(Assumptions!$B$33=0,Assumptions!B12&lt;=0),B5,MAX(B5+B7,0))</f>
        <v>309735542.40710366</v>
      </c>
    </row>
    <row r="9" spans="1:2" x14ac:dyDescent="0.25">
      <c r="A9" t="s">
        <v>60</v>
      </c>
      <c r="B9" s="18">
        <f>B8*(1+Assumptions!B12)/(Assumptions!B26-Assumptions!B12)</f>
        <v>7362302397.532967</v>
      </c>
    </row>
    <row r="10" spans="1:2" x14ac:dyDescent="0.25">
      <c r="A10" t="s">
        <v>61</v>
      </c>
      <c r="B10" s="18">
        <f>B9/(1+Assumptions!B26)^(5-0.5*Assumptions!B32)</f>
        <v>5472923165.952817</v>
      </c>
    </row>
    <row r="11" spans="1:2" x14ac:dyDescent="0.25">
      <c r="A11" t="s">
        <v>62</v>
      </c>
      <c r="B11" s="18">
        <f>Forecast!B17+B10</f>
        <v>7096664228.203851</v>
      </c>
    </row>
    <row r="12" spans="1:2" x14ac:dyDescent="0.25">
      <c r="A12" t="s">
        <v>63</v>
      </c>
      <c r="B12" s="18">
        <f>-Assumptions!B30</f>
        <v>-98344000</v>
      </c>
    </row>
    <row r="13" spans="1:2" x14ac:dyDescent="0.25">
      <c r="A13" t="s">
        <v>64</v>
      </c>
      <c r="B13" s="18">
        <f>B11+B12</f>
        <v>6998320228.203851</v>
      </c>
    </row>
    <row r="14" spans="1:2" x14ac:dyDescent="0.25">
      <c r="A14" s="19" t="s">
        <v>65</v>
      </c>
      <c r="B14" s="24">
        <f>B13/Assumptions!B31</f>
        <v>97.03916020961734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646804990.8907412</v>
      </c>
    </row>
    <row r="18" spans="1:2" x14ac:dyDescent="0.25">
      <c r="A18" t="s">
        <v>60</v>
      </c>
      <c r="B18" s="18">
        <f>B17*Assumptions!B13</f>
        <v>9918784251.99386</v>
      </c>
    </row>
    <row r="19" spans="1:2" x14ac:dyDescent="0.25">
      <c r="A19" t="s">
        <v>61</v>
      </c>
      <c r="B19" s="18">
        <f>B18/(1+Assumptions!B26)^(5-0.5*Assumptions!B32)</f>
        <v>7373338010.269104</v>
      </c>
    </row>
    <row r="20" spans="1:2" x14ac:dyDescent="0.25">
      <c r="A20" t="s">
        <v>62</v>
      </c>
      <c r="B20" s="18">
        <f>Forecast!B17+B19</f>
        <v>8997079072.520138</v>
      </c>
    </row>
    <row r="21" spans="1:2" x14ac:dyDescent="0.25">
      <c r="A21" t="s">
        <v>63</v>
      </c>
      <c r="B21" s="18">
        <f>-Assumptions!B30</f>
        <v>-98344000</v>
      </c>
    </row>
    <row r="22" spans="1:2" x14ac:dyDescent="0.25">
      <c r="A22" t="s">
        <v>64</v>
      </c>
      <c r="B22" s="18">
        <f>B20+B21</f>
        <v>8898735072.520138</v>
      </c>
    </row>
    <row r="23" spans="1:2" x14ac:dyDescent="0.25">
      <c r="A23" s="19" t="s">
        <v>65</v>
      </c>
      <c r="B23" s="25">
        <f>B22/Assumptions!B31</f>
        <v>123.390435162589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73.75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97.03916020961734</v>
      </c>
    </row>
    <row r="29" spans="1:2" x14ac:dyDescent="0.25">
      <c r="A29" s="19" t="s">
        <v>73</v>
      </c>
      <c r="B29" s="12">
        <f>B28/B26-1</f>
        <v>0.3157852231812519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0.048122</v>
      </c>
      <c r="B5" s="31">
        <v>140.6896706813893</v>
      </c>
      <c r="C5" s="31">
        <v>155.40321468388183</v>
      </c>
      <c r="D5" s="31">
        <v>176.39646255973332</v>
      </c>
      <c r="E5" s="31">
        <v>208.86727095282353</v>
      </c>
      <c r="F5" s="31">
        <v>265.93585078820803</v>
      </c>
    </row>
    <row r="6" spans="1:6" x14ac:dyDescent="0.25">
      <c r="A6" s="30">
        <v>0.058122</v>
      </c>
      <c r="B6" s="31">
        <v>108.84467930271146</v>
      </c>
      <c r="C6" s="31">
        <v>115.79437942038047</v>
      </c>
      <c r="D6" s="31">
        <v>124.78628299662327</v>
      </c>
      <c r="E6" s="31">
        <v>136.90968140042528</v>
      </c>
      <c r="F6" s="31">
        <v>154.19607806632445</v>
      </c>
    </row>
    <row r="7" spans="1:6" x14ac:dyDescent="0.25">
      <c r="A7" s="30">
        <v>0.068122</v>
      </c>
      <c r="B7" s="31">
        <v>88.94837559576291</v>
      </c>
      <c r="C7" s="31">
        <v>92.59214205216641</v>
      </c>
      <c r="D7" s="32">
        <v>97.03966095023632</v>
      </c>
      <c r="E7" s="31">
        <v>102.60718764449227</v>
      </c>
      <c r="F7" s="31">
        <v>109.80194141344371</v>
      </c>
    </row>
    <row r="8" spans="1:6" x14ac:dyDescent="0.25">
      <c r="A8" s="30">
        <v>0.078122</v>
      </c>
      <c r="B8" s="31">
        <v>75.32419199732735</v>
      </c>
      <c r="C8" s="31">
        <v>77.33111926161386</v>
      </c>
      <c r="D8" s="31">
        <v>79.68374225002515</v>
      </c>
      <c r="E8" s="31">
        <v>82.48981699643086</v>
      </c>
      <c r="F8" s="31">
        <v>85.90707682419058</v>
      </c>
    </row>
    <row r="9" spans="1:6" x14ac:dyDescent="0.25">
      <c r="A9" s="30">
        <v>0.088122</v>
      </c>
      <c r="B9" s="31">
        <v>65.40067480722267</v>
      </c>
      <c r="C9" s="31">
        <v>66.5164638637403</v>
      </c>
      <c r="D9" s="31">
        <v>67.78310462557546</v>
      </c>
      <c r="E9" s="31">
        <v>69.23952857443506</v>
      </c>
      <c r="F9" s="31">
        <v>70.93932457755604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649561000</v>
      </c>
      <c r="C5" s="18">
        <v>566340000</v>
      </c>
      <c r="D5" s="18">
        <v>509114000</v>
      </c>
      <c r="E5" s="18">
        <v>447539000</v>
      </c>
      <c r="F5" s="8" t="s">
        <v>84</v>
      </c>
    </row>
    <row r="6" spans="1:6" x14ac:dyDescent="0.25">
      <c r="A6" t="s">
        <v>44</v>
      </c>
      <c r="B6" s="18">
        <v>291710000</v>
      </c>
      <c r="C6" s="18">
        <v>254170000</v>
      </c>
      <c r="D6" s="18">
        <v>242400000</v>
      </c>
      <c r="E6" s="18">
        <v>197524000</v>
      </c>
      <c r="F6" s="8" t="s">
        <v>85</v>
      </c>
    </row>
    <row r="7" spans="1:6" x14ac:dyDescent="0.25">
      <c r="A7" t="s">
        <v>86</v>
      </c>
      <c r="B7" s="18">
        <v>49620000</v>
      </c>
      <c r="C7" s="18">
        <v>47073000</v>
      </c>
      <c r="D7" s="18">
        <v>36331000</v>
      </c>
      <c r="E7" s="18">
        <v>42300000</v>
      </c>
      <c r="F7" s="8" t="s">
        <v>87</v>
      </c>
    </row>
    <row r="8" spans="1:6" x14ac:dyDescent="0.25">
      <c r="A8" t="s">
        <v>88</v>
      </c>
      <c r="B8" s="18">
        <v>21074000</v>
      </c>
      <c r="C8" s="18">
        <v>24909000</v>
      </c>
      <c r="D8" s="18">
        <v>24329000</v>
      </c>
      <c r="E8" s="18">
        <v>29602000</v>
      </c>
      <c r="F8" s="8" t="s">
        <v>89</v>
      </c>
    </row>
    <row r="9" spans="1:6" x14ac:dyDescent="0.25">
      <c r="A9" t="s">
        <v>90</v>
      </c>
      <c r="B9" s="18">
        <v>-30902000</v>
      </c>
      <c r="C9" s="18">
        <v>-37301000</v>
      </c>
      <c r="D9" s="18">
        <v>-1575000</v>
      </c>
      <c r="E9" s="18">
        <v>15925000</v>
      </c>
      <c r="F9" s="8" t="s">
        <v>91</v>
      </c>
    </row>
    <row r="10" spans="1:6" x14ac:dyDescent="0.25">
      <c r="A10" t="s">
        <v>92</v>
      </c>
      <c r="B10" s="18">
        <v>149441000</v>
      </c>
      <c r="C10" s="18">
        <v>179684000</v>
      </c>
      <c r="D10" s="18">
        <v>177360000</v>
      </c>
      <c r="E10" s="18">
        <v>161630000</v>
      </c>
      <c r="F10" s="8" t="s">
        <v>93</v>
      </c>
    </row>
    <row r="11" spans="1:6" x14ac:dyDescent="0.25">
      <c r="A11" t="s">
        <v>94</v>
      </c>
      <c r="B11" s="18">
        <v>51097000</v>
      </c>
      <c r="C11" s="18">
        <v>57124000</v>
      </c>
      <c r="D11" s="18">
        <v>50631000</v>
      </c>
      <c r="E11" s="18">
        <v>40451000</v>
      </c>
      <c r="F11" s="8" t="s">
        <v>95</v>
      </c>
    </row>
    <row r="12" spans="1:6" x14ac:dyDescent="0.25">
      <c r="A12" t="s">
        <v>32</v>
      </c>
      <c r="B12" s="34">
        <v>72118516</v>
      </c>
      <c r="C12" s="34">
        <v>73137277</v>
      </c>
      <c r="D12" s="34">
        <v>73692164</v>
      </c>
      <c r="E12" s="34">
        <v>77806579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