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<sst xmlns="http://schemas.openxmlformats.org/spreadsheetml/2006/main" count="112" uniqueCount="100">
  <si>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Games Workshop Group PLC (GAW.L)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</si>
  <si>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</si>
  <si>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</si>
  <si>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</si>
  <si>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</si>
  <si>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</si>
  <si>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</si>
  <si>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</si>
  <si>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</si>
  <si>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</si>
  <si>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</si>
  <si>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</si>
  <si>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</si>
  <si>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</si>
  <si>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</si>
  <si>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</si>
  <si>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</si>
  <si>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</si>
  <si>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</si>
  <si>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</si>
  <si>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</si>
  <si>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</si>
  <si>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</si>
  <si>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</si>
  <si>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</si>
  <si>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</si>
  <si>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</si>
  <si>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</si>
  <si>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</si>
  <si>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</si>
  <si>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2026-05-31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</si>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</sst>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0.119016980153126</v>
      </c>
    </row>
    <row r="7" spans="1:2" x14ac:dyDescent="0.25">
      <c r="A7" t="s">
        <v>5</v>
      </c>
      <c r="B7" s="6">
        <v>0.39634887195122454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0.07491656147229792</v>
      </c>
    </row>
    <row r="10" spans="1:2" x14ac:dyDescent="0.25">
      <c r="A10" t="s">
        <v>8</v>
      </c>
      <c r="B10" s="6">
        <v>0.06581008628969134</v>
      </c>
    </row>
    <row r="11" spans="1:2" x14ac:dyDescent="0.25">
      <c r="A11" t="s">
        <v>9</v>
      </c>
      <c r="B11" s="6">
        <v>-0.034858387799564274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17.757014295489892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0.93635</v>
      </c>
      <c r="C19" s="8" t="s">
        <v>19</v>
      </c>
    </row>
    <row r="20" spans="1:2" x14ac:dyDescent="0.25">
      <c r="A20" t="s">
        <v>20</v>
      </c>
      <c r="B20" s="10">
        <f>B17+B19*B18</f>
        <v>0.09649925000000001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5835780096</v>
      </c>
    </row>
    <row r="23" spans="1:2" x14ac:dyDescent="0.25">
      <c r="A23" t="s">
        <v>24</v>
      </c>
      <c r="B23" s="11">
        <v>56000000</v>
      </c>
    </row>
    <row r="24" spans="1:2" x14ac:dyDescent="0.25">
      <c r="A24" t="s">
        <v>25</v>
      </c>
      <c r="B24" s="10">
        <f>B22/(B22+B23)</f>
        <v>0.9904952324955205</v>
      </c>
    </row>
    <row r="25" spans="1:2" x14ac:dyDescent="0.25">
      <c r="A25" t="s">
        <v>26</v>
      </c>
      <c r="B25" s="10">
        <f>1-B24</f>
        <v>0.009504767504479483</v>
      </c>
    </row>
    <row r="26" spans="1:2" x14ac:dyDescent="0.25">
      <c r="A26" t="s">
        <v>27</v>
      </c>
      <c r="B26" s="12">
        <f>B24*B20+B25*B21*(1-B8)</f>
        <v>0.09590283296766955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659700000</v>
      </c>
      <c r="C29" s="8" t="s">
        <v>30</v>
      </c>
    </row>
    <row r="30" spans="1:2" x14ac:dyDescent="0.25">
      <c r="A30" t="s">
        <v>31</v>
      </c>
      <c r="B30" s="11">
        <v>-126900000</v>
      </c>
    </row>
    <row r="31" spans="1:2" x14ac:dyDescent="0.25">
      <c r="A31" t="s">
        <v>32</v>
      </c>
      <c r="B31" s="13">
        <v>33093000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0.119016980153126</v>
      </c>
      <c r="C5" s="10">
        <f>Assumptions!B6</f>
        <v>0.119016980153126</v>
      </c>
      <c r="D5" s="10">
        <f>Assumptions!B6</f>
        <v>0.119016980153126</v>
      </c>
      <c r="E5" s="10">
        <f>Assumptions!B6</f>
        <v>0.119016980153126</v>
      </c>
      <c r="F5" s="10">
        <f>Assumptions!B6</f>
        <v>0.119016980153126</v>
      </c>
    </row>
    <row r="6" spans="1:6" x14ac:dyDescent="0.25">
      <c r="A6" t="s">
        <v>43</v>
      </c>
      <c r="B6" s="18">
        <f>Assumptions!B29*(1+B5)</f>
        <v>738215501.8070172</v>
      </c>
      <c r="C6" s="18">
        <f>B6*(1+C5)</f>
        <v>826075681.534313</v>
      </c>
      <c r="D6" s="18">
        <f>C6*(1+D5)</f>
        <v>924392714.5284623</v>
      </c>
      <c r="E6" s="18">
        <f>D6*(1+E5)</f>
        <v>1034411143.8871906</v>
      </c>
      <c r="F6" s="18">
        <f>E6*(1+F5)</f>
        <v>1157523634.4693847</v>
      </c>
    </row>
    <row r="7" spans="1:6" x14ac:dyDescent="0.25">
      <c r="A7" t="s">
        <v>5</v>
      </c>
      <c r="B7" s="10">
        <f>Assumptions!B7</f>
        <v>0.39634887195122454</v>
      </c>
      <c r="C7" s="10">
        <f>Assumptions!B7</f>
        <v>0.39634887195122454</v>
      </c>
      <c r="D7" s="10">
        <f>Assumptions!B7</f>
        <v>0.39634887195122454</v>
      </c>
      <c r="E7" s="10">
        <f>Assumptions!B7</f>
        <v>0.39634887195122454</v>
      </c>
      <c r="F7" s="10">
        <f>Assumptions!B7</f>
        <v>0.39634887195122454</v>
      </c>
    </row>
    <row r="8" spans="1:6" x14ac:dyDescent="0.25">
      <c r="A8" t="s">
        <v>44</v>
      </c>
      <c r="B8" s="18">
        <f>B6*B7</f>
        <v>292590881.39811844</v>
      </c>
      <c r="C8" s="18">
        <f>C6*C7</f>
        <v>327414164.5224639</v>
      </c>
      <c r="D8" s="18">
        <f>D6*D7</f>
        <v>366382009.64328635</v>
      </c>
      <c r="E8" s="18">
        <f>E6*E7</f>
        <v>409987690.0134638</v>
      </c>
      <c r="F8" s="18">
        <f>F6*F7</f>
        <v>458783186.7788222</v>
      </c>
    </row>
    <row r="9" spans="1:6" x14ac:dyDescent="0.25">
      <c r="A9" t="s">
        <v>45</v>
      </c>
      <c r="B9" s="18">
        <f>B8*(1-Assumptions!B8)</f>
        <v>219443161.0485888</v>
      </c>
      <c r="C9" s="18">
        <f>C8*(1-Assumptions!B8)</f>
        <v>245560623.39184794</v>
      </c>
      <c r="D9" s="18">
        <f>D8*(1-Assumptions!B8)</f>
        <v>274786507.2324648</v>
      </c>
      <c r="E9" s="18">
        <f>E8*(1-Assumptions!B8)</f>
        <v>307490767.51009786</v>
      </c>
      <c r="F9" s="18">
        <f>F8*(1-Assumptions!B8)</f>
        <v>344087390.08411664</v>
      </c>
    </row>
    <row r="10" spans="1:6" x14ac:dyDescent="0.25">
      <c r="A10" t="s">
        <v>46</v>
      </c>
      <c r="B10" s="18">
        <f>B6*Assumptions!B9</f>
        <v>55304567.02092866</v>
      </c>
      <c r="C10" s="18">
        <f>C6*Assumptions!B9</f>
        <v>61886749.57643575</v>
      </c>
      <c r="D10" s="18">
        <f>D6*Assumptions!B9</f>
        <v>69252323.62251589</v>
      </c>
      <c r="E10" s="18">
        <f>E6*Assumptions!B9</f>
        <v>77494526.04865472</v>
      </c>
      <c r="F10" s="18">
        <f>F6*Assumptions!B9</f>
        <v>86717690.51736335</v>
      </c>
    </row>
    <row r="11" spans="1:6" x14ac:dyDescent="0.25">
      <c r="A11" t="s">
        <v>47</v>
      </c>
      <c r="B11" s="18">
        <f>-B6*Assumptions!B10</f>
        <v>-48582025.874307595</v>
      </c>
      <c r="C11" s="18">
        <f>-C6*Assumptions!B10</f>
        <v>-54364111.883588724</v>
      </c>
      <c r="D11" s="18">
        <f>-D6*Assumptions!B10</f>
        <v>-60834364.30868012</v>
      </c>
      <c r="E11" s="18">
        <f>-E6*Assumptions!B10</f>
        <v>-68074686.63823435</v>
      </c>
      <c r="F11" s="18">
        <f>-F6*Assumptions!B10</f>
        <v>-76176730.26678735</v>
      </c>
    </row>
    <row r="12" spans="1:6" x14ac:dyDescent="0.25">
      <c r="A12" t="s">
        <v>48</v>
      </c>
      <c r="B12" s="18">
        <f>-(B6-Assumptions!B29)*Assumptions!B11</f>
        <v>2736923.810266395</v>
      </c>
      <c r="C12" s="18">
        <f>-(C6-B6)*Assumptions!B11</f>
        <v>3062664.217073491</v>
      </c>
      <c r="D12" s="18">
        <f>-(D6-C6)*Assumptions!B11</f>
        <v>3427173.263412613</v>
      </c>
      <c r="E12" s="18">
        <f>-(E6-D6)*Assumptions!B11</f>
        <v>3835065.075685518</v>
      </c>
      <c r="F12" s="18">
        <f>-(F6-E6)*Assumptions!B11</f>
        <v>4291502.939684326</v>
      </c>
    </row>
    <row r="13" spans="1:6" x14ac:dyDescent="0.25">
      <c r="A13" s="19" t="s">
        <v>49</v>
      </c>
      <c r="B13" s="20">
        <f>B9+B10+B11+B12</f>
        <v>228902626.0054763</v>
      </c>
      <c r="C13" s="20">
        <f>C9+C10+C11+C12</f>
        <v>256145925.30176848</v>
      </c>
      <c r="D13" s="20">
        <f>D9+D10+D11+D12</f>
        <v>286631639.8097132</v>
      </c>
      <c r="E13" s="20">
        <f>E9+E10+E11+E12</f>
        <v>320745671.9962038</v>
      </c>
      <c r="F13" s="20">
        <f>F9+F10+F11+F12</f>
        <v>358919853.274377</v>
      </c>
    </row>
    <row r="14" spans="1:6" x14ac:dyDescent="0.25">
      <c r="A14" t="s">
        <v>50</v>
      </c>
      <c r="B14" s="21">
        <f>1/(1+Assumptions!$B$26)^(1-0.5*Assumptions!$B$32)</f>
        <v>0.9552432448617496</v>
      </c>
      <c r="C14" s="21">
        <f>1/(1+Assumptions!$B$26)^(2-0.5*Assumptions!$B$32)</f>
        <v>0.8716495807160034</v>
      </c>
      <c r="D14" s="21">
        <f>1/(1+Assumptions!$B$26)^(3-0.5*Assumptions!$B$32)</f>
        <v>0.7953712268044825</v>
      </c>
      <c r="E14" s="21">
        <f>1/(1+Assumptions!$B$26)^(4-0.5*Assumptions!$B$32)</f>
        <v>0.7257680178183705</v>
      </c>
      <c r="F14" s="21">
        <f>1/(1+Assumptions!$B$26)^(5-0.5*Assumptions!$B$32)</f>
        <v>0.6622558095346958</v>
      </c>
    </row>
    <row r="15" spans="1:6" x14ac:dyDescent="0.25">
      <c r="A15" s="19" t="s">
        <v>51</v>
      </c>
      <c r="B15" s="20">
        <f>B13*B14</f>
        <v>218657687.2228467</v>
      </c>
      <c r="C15" s="20">
        <f>C13*C14</f>
        <v>223269488.39139923</v>
      </c>
      <c r="D15" s="20">
        <f>D13*D14</f>
        <v>227978558.99643213</v>
      </c>
      <c r="E15" s="20">
        <f>E13*E14</f>
        <v>232786950.58850604</v>
      </c>
      <c r="F15" s="20">
        <f>F13*F14</f>
        <v>237696757.98829675</v>
      </c>
    </row>
    <row r="17" spans="1:2" x14ac:dyDescent="0.25">
      <c r="A17" s="22" t="s">
        <v>52</v>
      </c>
      <c r="B17" s="23">
        <f>SUM(B15:F15)</f>
        <v>1140389443.1874807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358919853.274377</v>
      </c>
    </row>
    <row r="5" spans="1:2" x14ac:dyDescent="0.25">
      <c r="A5" t="s">
        <v>56</v>
      </c>
      <c r="B5" s="18">
        <f>IF(Assumptions!$B$33=0,B4,B4-Forecast!F11-Forecast!F10-Forecast!F12)</f>
        <v>366002202.59557414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-15250091.774815591</v>
      </c>
    </row>
    <row r="8" spans="1:2" x14ac:dyDescent="0.25">
      <c r="A8" t="s">
        <v>59</v>
      </c>
      <c r="B8" s="18">
        <f>IF(OR(Assumptions!$B$33=0,Assumptions!B12&lt;=0),B5,MAX(B5+B7,0))</f>
        <v>350752110.8207585</v>
      </c>
    </row>
    <row r="9" spans="1:2" x14ac:dyDescent="0.25">
      <c r="A9" t="s">
        <v>60</v>
      </c>
      <c r="B9" s="18">
        <f>B8*(1+Assumptions!B12)/(Assumptions!B26-Assumptions!B12)</f>
        <v>5070614227.152429</v>
      </c>
    </row>
    <row r="10" spans="1:2" x14ac:dyDescent="0.25">
      <c r="A10" t="s">
        <v>61</v>
      </c>
      <c r="B10" s="18">
        <f>B9/(1+Assumptions!B26)^(5-0.5*Assumptions!B32)</f>
        <v>3358043729.840977</v>
      </c>
    </row>
    <row r="11" spans="1:2" x14ac:dyDescent="0.25">
      <c r="A11" t="s">
        <v>62</v>
      </c>
      <c r="B11" s="18">
        <f>Forecast!B17+B10</f>
        <v>4498433173.028458</v>
      </c>
    </row>
    <row r="12" spans="1:2" x14ac:dyDescent="0.25">
      <c r="A12" t="s">
        <v>63</v>
      </c>
      <c r="B12" s="18">
        <f>-Assumptions!B30</f>
        <v>126900000</v>
      </c>
    </row>
    <row r="13" spans="1:2" x14ac:dyDescent="0.25">
      <c r="A13" t="s">
        <v>64</v>
      </c>
      <c r="B13" s="18">
        <f>B11+B12</f>
        <v>4625333173.028458</v>
      </c>
    </row>
    <row r="14" spans="1:2" x14ac:dyDescent="0.25">
      <c r="A14" s="19" t="s">
        <v>65</v>
      </c>
      <c r="B14" s="24">
        <f>B13/Assumptions!B31</f>
        <v>139.7677204553367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545500877.2961855</v>
      </c>
    </row>
    <row r="18" spans="1:2" x14ac:dyDescent="0.25">
      <c r="A18" t="s">
        <v>60</v>
      </c>
      <c r="B18" s="18">
        <f>B17*Assumptions!B13</f>
        <v>9686466876.350643</v>
      </c>
    </row>
    <row r="19" spans="1:2" x14ac:dyDescent="0.25">
      <c r="A19" t="s">
        <v>61</v>
      </c>
      <c r="B19" s="18">
        <f>B18/(1+Assumptions!B26)^(5-0.5*Assumptions!B32)</f>
        <v>6414918962.728611</v>
      </c>
    </row>
    <row r="20" spans="1:2" x14ac:dyDescent="0.25">
      <c r="A20" t="s">
        <v>62</v>
      </c>
      <c r="B20" s="18">
        <f>Forecast!B17+B19</f>
        <v>7555308405.916092</v>
      </c>
    </row>
    <row r="21" spans="1:2" x14ac:dyDescent="0.25">
      <c r="A21" t="s">
        <v>63</v>
      </c>
      <c r="B21" s="18">
        <f>-Assumptions!B30</f>
        <v>126900000</v>
      </c>
    </row>
    <row r="22" spans="1:2" x14ac:dyDescent="0.25">
      <c r="A22" t="s">
        <v>64</v>
      </c>
      <c r="B22" s="18">
        <f>B20+B21</f>
        <v>7682208405.916092</v>
      </c>
    </row>
    <row r="23" spans="1:2" x14ac:dyDescent="0.25">
      <c r="A23" s="19" t="s">
        <v>65</v>
      </c>
      <c r="B23" s="25">
        <f>B22/Assumptions!B31</f>
        <v>232.13998144369177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17660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13976.77204553367</v>
      </c>
    </row>
    <row r="29" spans="1:2" x14ac:dyDescent="0.25">
      <c r="A29" s="19" t="s">
        <v>73</v>
      </c>
      <c r="B29" s="12">
        <f>B28/B26-1</f>
        <v>-0.20856330432991677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0.075903</v>
      </c>
      <c r="B5" s="31">
        <v>169.25919977992677</v>
      </c>
      <c r="C5" s="31">
        <v>180.3079366973111</v>
      </c>
      <c r="D5" s="31">
        <v>193.51419392928167</v>
      </c>
      <c r="E5" s="31">
        <v>209.582997393944</v>
      </c>
      <c r="F5" s="31">
        <v>229.56410367370935</v>
      </c>
    </row>
    <row r="6" spans="1:6" x14ac:dyDescent="0.25">
      <c r="A6" s="30">
        <v>0.085903</v>
      </c>
      <c r="B6" s="31">
        <v>145.64547331847086</v>
      </c>
      <c r="C6" s="31">
        <v>153.30836976733258</v>
      </c>
      <c r="D6" s="31">
        <v>162.21903548735784</v>
      </c>
      <c r="E6" s="31">
        <v>172.71227431854555</v>
      </c>
      <c r="F6" s="31">
        <v>185.2544359194116</v>
      </c>
    </row>
    <row r="7" spans="1:6" x14ac:dyDescent="0.25">
      <c r="A7" s="30">
        <v>0.095903</v>
      </c>
      <c r="B7" s="31">
        <v>127.8888050526678</v>
      </c>
      <c r="C7" s="31">
        <v>133.44087991408333</v>
      </c>
      <c r="D7" s="32">
        <v>139.76739846002124</v>
      </c>
      <c r="E7" s="31">
        <v>147.04462968078312</v>
      </c>
      <c r="F7" s="31">
        <v>155.50672772513593</v>
      </c>
    </row>
    <row r="8" spans="1:6" x14ac:dyDescent="0.25">
      <c r="A8" s="30">
        <v>0.105903</v>
      </c>
      <c r="B8" s="31">
        <v>114.05544022030115</v>
      </c>
      <c r="C8" s="31">
        <v>118.21401823980774</v>
      </c>
      <c r="D8" s="31">
        <v>122.87937423297612</v>
      </c>
      <c r="E8" s="31">
        <v>128.15165799105205</v>
      </c>
      <c r="F8" s="31">
        <v>134.15926910888498</v>
      </c>
    </row>
    <row r="9" spans="1:6" x14ac:dyDescent="0.25">
      <c r="A9" s="30">
        <v>0.115903</v>
      </c>
      <c r="B9" s="31">
        <v>102.97824195789065</v>
      </c>
      <c r="C9" s="31">
        <v>106.17552214613468</v>
      </c>
      <c r="D9" s="31">
        <v>109.71833702783064</v>
      </c>
      <c r="E9" s="31">
        <v>113.66702233516232</v>
      </c>
      <c r="F9" s="31">
        <v>118.0968293738233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659700000</v>
      </c>
      <c r="C5" s="18">
        <v>617500000</v>
      </c>
      <c r="D5" s="18">
        <v>525700000</v>
      </c>
      <c r="E5" s="18">
        <v>470800000</v>
      </c>
      <c r="F5" s="8" t="s">
        <v>84</v>
      </c>
    </row>
    <row r="6" spans="1:6" x14ac:dyDescent="0.25">
      <c r="A6" t="s">
        <v>44</v>
      </c>
      <c r="B6" s="18">
        <v>275000000</v>
      </c>
      <c r="C6" s="18">
        <v>261300000</v>
      </c>
      <c r="D6" s="18">
        <v>201800000</v>
      </c>
      <c r="E6" s="18">
        <v>170200000</v>
      </c>
      <c r="F6" s="8" t="s">
        <v>85</v>
      </c>
    </row>
    <row r="7" spans="1:6" x14ac:dyDescent="0.25">
      <c r="A7" t="s">
        <v>86</v>
      </c>
      <c r="B7" s="18">
        <v>46500000</v>
      </c>
      <c r="C7" s="18">
        <v>43900000</v>
      </c>
      <c r="D7" s="18">
        <v>39000000</v>
      </c>
      <c r="E7" s="18">
        <v>39500000</v>
      </c>
      <c r="F7" s="8" t="s">
        <v>87</v>
      </c>
    </row>
    <row r="8" spans="1:6" x14ac:dyDescent="0.25">
      <c r="A8" t="s">
        <v>88</v>
      </c>
      <c r="B8" s="18">
        <v>49400000</v>
      </c>
      <c r="C8" s="18">
        <v>40900000</v>
      </c>
      <c r="D8" s="18">
        <v>32600000</v>
      </c>
      <c r="E8" s="18">
        <v>28300000</v>
      </c>
      <c r="F8" s="8" t="s">
        <v>89</v>
      </c>
    </row>
    <row r="9" spans="1:6" x14ac:dyDescent="0.25">
      <c r="A9" t="s">
        <v>90</v>
      </c>
      <c r="B9" s="18">
        <v>-8800000</v>
      </c>
      <c r="C9" s="18">
        <v>-3200000</v>
      </c>
      <c r="D9" s="18">
        <v>7900000</v>
      </c>
      <c r="E9" s="18">
        <v>-18600000</v>
      </c>
      <c r="F9" s="8" t="s">
        <v>91</v>
      </c>
    </row>
    <row r="10" spans="1:6" x14ac:dyDescent="0.25">
      <c r="A10" t="s">
        <v>92</v>
      </c>
      <c r="B10" s="18">
        <v>56000000</v>
      </c>
      <c r="C10" s="18">
        <v>45200000</v>
      </c>
      <c r="D10" s="18">
        <v>47200000</v>
      </c>
      <c r="E10" s="18">
        <v>49900000</v>
      </c>
      <c r="F10" s="8" t="s">
        <v>93</v>
      </c>
    </row>
    <row r="11" spans="1:6" x14ac:dyDescent="0.25">
      <c r="A11" t="s">
        <v>94</v>
      </c>
      <c r="B11" s="18">
        <v>182900000</v>
      </c>
      <c r="C11" s="18">
        <v>132600000</v>
      </c>
      <c r="D11" s="18">
        <v>107600000</v>
      </c>
      <c r="E11" s="18">
        <v>90200000</v>
      </c>
      <c r="F11" s="8" t="s">
        <v>95</v>
      </c>
    </row>
    <row r="12" spans="1:6" x14ac:dyDescent="0.25">
      <c r="A12" t="s">
        <v>32</v>
      </c>
      <c r="B12" s="34">
        <v>33093000</v>
      </c>
      <c r="C12" s="34">
        <v>33041000</v>
      </c>
      <c r="D12" s="34">
        <v>32977000</v>
      </c>
      <c r="E12" s="34">
        <v>32898000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2026-09-19T00:07:22Z</dcterms:modified>
</cp:coreProperties>
</file>