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<sst xmlns="http://schemas.openxmlformats.org/spreadsheetml/2006/main" count="119" uniqueCount="106">
  <si>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General Dynamics Corporation (GD)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</si>
  <si>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</si>
  <si>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</si>
  <si>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</si>
  <si>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</si>
  <si>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</si>
  <si>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</si>
  <si>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</si>
  <si>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</si>
  <si>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</si>
  <si>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</si>
  <si>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</si>
  <si>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</si>
  <si>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</si>
  <si>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</si>
  <si>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</si>
  <si>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</si>
  <si>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</si>
  <si>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</si>
  <si>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</si>
  <si>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</si>
  <si>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</si>
  <si>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</si>
  <si>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</si>
  <si>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13.3x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</si>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</sst>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0.06461773986679353</v>
      </c>
    </row>
    <row r="7" spans="1:2" x14ac:dyDescent="0.25">
      <c r="A7" t="s">
        <v>4</v>
      </c>
      <c r="B7" s="5">
        <v>0.10242840197703544</v>
      </c>
    </row>
    <row r="8" spans="1:2" x14ac:dyDescent="0.25">
      <c r="A8" t="s">
        <v>5</v>
      </c>
      <c r="B8" s="5">
        <v>0.16744101958494773</v>
      </c>
    </row>
    <row r="9" spans="1:2" x14ac:dyDescent="0.25">
      <c r="A9" t="s">
        <v>6</v>
      </c>
      <c r="B9" s="5">
        <v>0.019749854234326965</v>
      </c>
    </row>
    <row r="10" spans="1:3" x14ac:dyDescent="0.25">
      <c r="A10" t="s">
        <v>7</v>
      </c>
      <c r="B10" s="5">
        <v>0.02273614075349022</v>
      </c>
      <c r="C10" s="6" t="s">
        <v>8</v>
      </c>
    </row>
    <row r="11" spans="1:2" x14ac:dyDescent="0.25">
      <c r="A11" t="s">
        <v>9</v>
      </c>
      <c r="B11" s="5">
        <v>0.18330101331386728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17.239315566878982</v>
      </c>
    </row>
    <row r="14" spans="1:3" x14ac:dyDescent="0.25">
      <c r="A14" t="s">
        <v>12</v>
      </c>
      <c r="B14" s="5">
        <v>0.12508163908397288</v>
      </c>
      <c r="C14" s="6" t="s">
        <v>13</v>
      </c>
    </row>
    <row r="15" spans="1:3" x14ac:dyDescent="0.25">
      <c r="A15" t="s">
        <v>14</v>
      </c>
      <c r="B15" s="5">
        <v>0.013922518952118206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0.55043</v>
      </c>
      <c r="C19" s="6" t="s">
        <v>21</v>
      </c>
    </row>
    <row r="20" spans="1:2" x14ac:dyDescent="0.25">
      <c r="A20" t="s">
        <v>22</v>
      </c>
      <c r="B20" s="9">
        <f>B17+B19*B18</f>
        <v>0.072223189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100806901760</v>
      </c>
    </row>
    <row r="23" spans="1:2" x14ac:dyDescent="0.25">
      <c r="A23" t="s">
        <v>26</v>
      </c>
      <c r="B23" s="10">
        <v>9789000000</v>
      </c>
    </row>
    <row r="24" spans="1:2" x14ac:dyDescent="0.25">
      <c r="A24" t="s">
        <v>27</v>
      </c>
      <c r="B24" s="9">
        <f>B22/(B22+B23)</f>
        <v>0.9114885828116602</v>
      </c>
    </row>
    <row r="25" spans="1:2" x14ac:dyDescent="0.25">
      <c r="A25" t="s">
        <v>28</v>
      </c>
      <c r="B25" s="9">
        <f>1-B24</f>
        <v>0.08851141718833977</v>
      </c>
    </row>
    <row r="26" spans="1:2" x14ac:dyDescent="0.25">
      <c r="A26" t="s">
        <v>29</v>
      </c>
      <c r="B26" s="11">
        <f>B24*B20+B25*B21*(1-B8)</f>
        <v>0.06973181241745274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52550000000</v>
      </c>
      <c r="C29" s="6" t="s">
        <v>32</v>
      </c>
    </row>
    <row r="30" spans="1:2" x14ac:dyDescent="0.25">
      <c r="A30" t="s">
        <v>33</v>
      </c>
      <c r="B30" s="10">
        <v>7456000000</v>
      </c>
    </row>
    <row r="31" spans="1:2" x14ac:dyDescent="0.25">
      <c r="A31" t="s">
        <v>34</v>
      </c>
      <c r="B31" s="12">
        <v>272400000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0.06461773986679353</v>
      </c>
      <c r="C5" s="5">
        <v>0.0476339325298214</v>
      </c>
      <c r="D5" s="5">
        <v>0.04480469096359373</v>
      </c>
      <c r="E5" s="5">
        <v>0.04197544939736605</v>
      </c>
      <c r="F5" s="5">
        <v>0.039146207831138376</v>
      </c>
      <c r="G5" s="5">
        <v>0.0363169662649107</v>
      </c>
      <c r="H5" s="5">
        <v>0.033487724698683025</v>
      </c>
      <c r="I5" s="5">
        <v>0.030658483132455353</v>
      </c>
      <c r="J5" s="5">
        <v>0.027829241566227677</v>
      </c>
      <c r="K5" s="5">
        <v>0.025</v>
      </c>
    </row>
    <row r="6" spans="1:11" x14ac:dyDescent="0.25">
      <c r="A6" t="s">
        <v>50</v>
      </c>
      <c r="B6" s="18">
        <f>Assumptions!B29*(1+B5)</f>
        <v>55945662230</v>
      </c>
      <c r="C6" s="18">
        <f>B6*(1+C5)</f>
        <v>58610574130</v>
      </c>
      <c r="D6" s="18">
        <f>C6*(1+D5)</f>
        <v>61236602791.09345</v>
      </c>
      <c r="E6" s="18">
        <f>D6*(1+E5)</f>
        <v>63807036712.817604</v>
      </c>
      <c r="F6" s="18">
        <f>E6*(1+F5)</f>
        <v>66304840233.06664</v>
      </c>
      <c r="G6" s="18">
        <f>F6*(1+G5)</f>
        <v>68712830879.01122</v>
      </c>
      <c r="H6" s="18">
        <f>G6*(1+H5)</f>
        <v>71013867242.75471</v>
      </c>
      <c r="I6" s="18">
        <f>H6*(1+I5)</f>
        <v>73191044693.78714</v>
      </c>
      <c r="J6" s="18">
        <f>I6*(1+J5)</f>
        <v>75227895957.0551</v>
      </c>
      <c r="K6" s="18">
        <f>J6*(1+K5)</f>
        <v>77108593355.98148</v>
      </c>
    </row>
    <row r="7" spans="1:11" x14ac:dyDescent="0.25">
      <c r="A7" t="s">
        <v>4</v>
      </c>
      <c r="B7" s="9">
        <f>Assumptions!B7</f>
        <v>0.10242840197703544</v>
      </c>
      <c r="C7" s="9">
        <f>Assumptions!B7</f>
        <v>0.10242840197703544</v>
      </c>
      <c r="D7" s="9">
        <f>Assumptions!B7</f>
        <v>0.10242840197703544</v>
      </c>
      <c r="E7" s="9">
        <f>Assumptions!B7</f>
        <v>0.10242840197703544</v>
      </c>
      <c r="F7" s="9">
        <f>Assumptions!B7</f>
        <v>0.10242840197703544</v>
      </c>
      <c r="G7" s="9">
        <f>Assumptions!B7</f>
        <v>0.10242840197703544</v>
      </c>
      <c r="H7" s="9">
        <f>Assumptions!B7</f>
        <v>0.10242840197703544</v>
      </c>
      <c r="I7" s="9">
        <f>Assumptions!B7</f>
        <v>0.10242840197703544</v>
      </c>
      <c r="J7" s="9">
        <f>Assumptions!B7</f>
        <v>0.10242840197703544</v>
      </c>
      <c r="K7" s="9">
        <f>Assumptions!B7</f>
        <v>0.10242840197703544</v>
      </c>
    </row>
    <row r="8" spans="1:11" x14ac:dyDescent="0.25">
      <c r="A8" t="s">
        <v>51</v>
      </c>
      <c r="B8" s="18">
        <f>B6*B7</f>
        <v>5730424779.765889</v>
      </c>
      <c r="C8" s="18">
        <f>C6*C7</f>
        <v>6003387447.092474</v>
      </c>
      <c r="D8" s="18">
        <f>D6*D7</f>
        <v>6272367366.394171</v>
      </c>
      <c r="E8" s="18">
        <f>E6*E7</f>
        <v>6535652805.38394</v>
      </c>
      <c r="F8" s="18">
        <f>F6*F7</f>
        <v>6791498828.415663</v>
      </c>
      <c r="G8" s="18">
        <f>G6*G7</f>
        <v>7038145462.255415</v>
      </c>
      <c r="H8" s="18">
        <f>H6*H7</f>
        <v>7273836939.884709</v>
      </c>
      <c r="I8" s="18">
        <f>I6*I7</f>
        <v>7496841747.014396</v>
      </c>
      <c r="J8" s="18">
        <f>J6*J7</f>
        <v>7705473166.975839</v>
      </c>
      <c r="K8" s="18">
        <f>K6*K7</f>
        <v>7898109996.150235</v>
      </c>
    </row>
    <row r="9" spans="1:11" x14ac:dyDescent="0.25">
      <c r="A9" t="s">
        <v>52</v>
      </c>
      <c r="B9" s="18">
        <f>B8*(1-Assumptions!B8)</f>
        <v>4770916611.98704</v>
      </c>
      <c r="C9" s="18">
        <f>C8*(1-Assumptions!B8)</f>
        <v>4998174131.987834</v>
      </c>
      <c r="D9" s="18">
        <f>D8*(1-Assumptions!B8)</f>
        <v>5222115779.353778</v>
      </c>
      <c r="E9" s="18">
        <f>E8*(1-Assumptions!B8)</f>
        <v>5441316435.997229</v>
      </c>
      <c r="F9" s="18">
        <f>F8*(1-Assumptions!B8)</f>
        <v>5654323340.075767</v>
      </c>
      <c r="G9" s="18">
        <f>G8*(1-Assumptions!B8)</f>
        <v>5859671210.068195</v>
      </c>
      <c r="H9" s="18">
        <f>H8*(1-Assumptions!B8)</f>
        <v>6055898266.375757</v>
      </c>
      <c r="I9" s="18">
        <f>I8*(1-Assumptions!B8)</f>
        <v>6241562921.227304</v>
      </c>
      <c r="J9" s="18">
        <f>J8*(1-Assumptions!B8)</f>
        <v>6415260883.512948</v>
      </c>
      <c r="K9" s="18">
        <f>K8*(1-Assumptions!B8)</f>
        <v>6575642405.600772</v>
      </c>
    </row>
    <row r="10" spans="1:11" x14ac:dyDescent="0.25">
      <c r="A10" t="s">
        <v>53</v>
      </c>
      <c r="B10" s="18">
        <f>B6*Assumptions!B9</f>
        <v>1104918674.0853918</v>
      </c>
      <c r="C10" s="18">
        <f>C6*Assumptions!B9</f>
        <v>1157550295.6577148</v>
      </c>
      <c r="D10" s="18">
        <f>D6*Assumptions!B9</f>
        <v>1209413978.9294755</v>
      </c>
      <c r="E10" s="18">
        <f>E6*Assumptions!B9</f>
        <v>1260179674.2024968</v>
      </c>
      <c r="F10" s="18">
        <f>F6*Assumptions!B9</f>
        <v>1309510929.633404</v>
      </c>
      <c r="G10" s="18">
        <f>G6*Assumptions!B9</f>
        <v>1357068393.8884325</v>
      </c>
      <c r="H10" s="18">
        <f>H6*Assumptions!B9</f>
        <v>1402513526.660252</v>
      </c>
      <c r="I10" s="18">
        <f>I6*Assumptions!B9</f>
        <v>1445512463.960406</v>
      </c>
      <c r="J10" s="18">
        <f>J6*Assumptions!B9</f>
        <v>1485739979.506953</v>
      </c>
      <c r="K10" s="18">
        <f>K6*Assumptions!B9</f>
        <v>1522883478.9946268</v>
      </c>
    </row>
    <row r="11" spans="1:11" x14ac:dyDescent="0.25">
      <c r="A11" t="s">
        <v>54</v>
      </c>
      <c r="B11" s="18">
        <f>-B6*B19</f>
        <v>-1271988451.0085015</v>
      </c>
      <c r="C11" s="18">
        <f>-C6*C19</f>
        <v>-1392494356.5647295</v>
      </c>
      <c r="D11" s="18">
        <f>-D6*D19</f>
        <v>-1517485251.434448</v>
      </c>
      <c r="E11" s="18">
        <f>-E6*E19</f>
        <v>-1646410681.343057</v>
      </c>
      <c r="F11" s="18">
        <f>-F6*F19</f>
        <v>-1778643161.3415298</v>
      </c>
      <c r="G11" s="18">
        <f>-G6*G19</f>
        <v>-1913481457.6776135</v>
      </c>
      <c r="H11" s="18">
        <f>-H6*H19</f>
        <v>-2050155261.3218393</v>
      </c>
      <c r="I11" s="18">
        <f>-I6*I19</f>
        <v>-2187831248.114498</v>
      </c>
      <c r="J11" s="18">
        <f>-J6*J19</f>
        <v>-2325620489.760974</v>
      </c>
      <c r="K11" s="18">
        <f>-K6*K19</f>
        <v>-2462587148.2749686</v>
      </c>
    </row>
    <row r="12" spans="1:11" x14ac:dyDescent="0.25">
      <c r="A12" t="s">
        <v>55</v>
      </c>
      <c r="B12" s="18">
        <f>-(B6-Assumptions!B29)*Assumptions!B11</f>
        <v>-622428327.6306262</v>
      </c>
      <c r="C12" s="18">
        <f>-(C6-B6)*Assumptions!B11</f>
        <v>-488481051.66218334</v>
      </c>
      <c r="D12" s="18">
        <f>-(D6-C6)*Assumptions!B11</f>
        <v>-481353714.56968796</v>
      </c>
      <c r="E12" s="18">
        <f>-(E6-D6)*Assumptions!B11</f>
        <v>-471163142.5083748</v>
      </c>
      <c r="F12" s="18">
        <f>-(F6-E6)*Assumptions!B11</f>
        <v>-457849916.3205936</v>
      </c>
      <c r="G12" s="18">
        <f>-(G6-F6)*Assumptions!B11</f>
        <v>-441387125.4519553</v>
      </c>
      <c r="H12" s="18">
        <f>-(H6-G6)*Assumptions!B11</f>
        <v>-421782297.1462386</v>
      </c>
      <c r="I12" s="18">
        <f>-(I6-H6)*Assumptions!B11</f>
        <v>-399078832.93834615</v>
      </c>
      <c r="J12" s="18">
        <f>-(J6-I6)*Assumptions!B11</f>
        <v>-373356900.5266476</v>
      </c>
      <c r="K12" s="18">
        <f>-(K6-J6)*Assumptions!B11</f>
        <v>-344733738.95995927</v>
      </c>
    </row>
    <row r="13" spans="1:11" x14ac:dyDescent="0.25">
      <c r="A13" s="19" t="s">
        <v>56</v>
      </c>
      <c r="B13" s="20">
        <f>B9+B10+B11+B12</f>
        <v>3981418507.4333043</v>
      </c>
      <c r="C13" s="20">
        <f>C9+C10+C11+C12</f>
        <v>4274749019.418636</v>
      </c>
      <c r="D13" s="20">
        <f>D9+D10+D11+D12</f>
        <v>4432690792.279118</v>
      </c>
      <c r="E13" s="20">
        <f>E9+E10+E11+E12</f>
        <v>4583922286.348293</v>
      </c>
      <c r="F13" s="20">
        <f>F9+F10+F11+F12</f>
        <v>4727341192.047047</v>
      </c>
      <c r="G13" s="20">
        <f>G9+G10+G11+G12</f>
        <v>4861871020.827059</v>
      </c>
      <c r="H13" s="20">
        <f>H9+H10+H11+H12</f>
        <v>4986474234.567931</v>
      </c>
      <c r="I13" s="20">
        <f>I9+I10+I11+I12</f>
        <v>5100165304.134867</v>
      </c>
      <c r="J13" s="20">
        <f>J9+J10+J11+J12</f>
        <v>5202023472.73228</v>
      </c>
      <c r="K13" s="20">
        <f>K9+K10+K11+K12</f>
        <v>5291204997.360472</v>
      </c>
    </row>
    <row r="14" spans="1:11" x14ac:dyDescent="0.25">
      <c r="A14" t="s">
        <v>57</v>
      </c>
      <c r="B14" s="21">
        <f>1/(1+Assumptions!$B$26)^(1-0.5*Assumptions!$B$32)</f>
        <v>0.9668576644987492</v>
      </c>
      <c r="C14" s="21">
        <f>1/(1+Assumptions!$B$26)^(2-0.5*Assumptions!$B$32)</f>
        <v>0.9038318326850339</v>
      </c>
      <c r="D14" s="21">
        <f>1/(1+Assumptions!$B$26)^(3-0.5*Assumptions!$B$32)</f>
        <v>0.8449144189163572</v>
      </c>
      <c r="E14" s="21">
        <f>1/(1+Assumptions!$B$26)^(4-0.5*Assumptions!$B$32)</f>
        <v>0.7898376107998154</v>
      </c>
      <c r="F14" s="21">
        <f>1/(1+Assumptions!$B$26)^(5-0.5*Assumptions!$B$32)</f>
        <v>0.7383510536298687</v>
      </c>
      <c r="G14" s="21">
        <f>1/(1+Assumptions!$B$26)^(6-0.5*Assumptions!$B$32)</f>
        <v>0.690220712387054</v>
      </c>
      <c r="H14" s="21">
        <f>1/(1+Assumptions!$B$26)^(7-0.5*Assumptions!$B$32)</f>
        <v>0.6452278079187401</v>
      </c>
      <c r="I14" s="21">
        <f>1/(1+Assumptions!$B$26)^(8-0.5*Assumptions!$B$32)</f>
        <v>0.6031678224662781</v>
      </c>
      <c r="J14" s="21">
        <f>1/(1+Assumptions!$B$26)^(9-0.5*Assumptions!$B$32)</f>
        <v>0.5638495700181135</v>
      </c>
      <c r="K14" s="21">
        <f>1/(1+Assumptions!$B$26)^(10-0.5*Assumptions!$B$32)</f>
        <v>0.5270943272630996</v>
      </c>
    </row>
    <row r="15" spans="1:11" x14ac:dyDescent="0.25">
      <c r="A15" s="19" t="s">
        <v>58</v>
      </c>
      <c r="B15" s="20">
        <f>B13*B14</f>
        <v>3849464999.4890604</v>
      </c>
      <c r="C15" s="20">
        <f>C13*C14</f>
        <v>3863654240.489697</v>
      </c>
      <c r="D15" s="20">
        <f>D13*D14</f>
        <v>3745244364.9943976</v>
      </c>
      <c r="E15" s="20">
        <f>E13*E14</f>
        <v>3620554226.741363</v>
      </c>
      <c r="F15" s="20">
        <f>F13*F14</f>
        <v>3490437350.0158167</v>
      </c>
      <c r="G15" s="20">
        <f>G13*G14</f>
        <v>3355764079.529226</v>
      </c>
      <c r="H15" s="20">
        <f>H13*H14</f>
        <v>3217411839.613544</v>
      </c>
      <c r="I15" s="20">
        <f>I13*I14</f>
        <v>3076255600.7130904</v>
      </c>
      <c r="J15" s="20">
        <f>J13*J14</f>
        <v>2933158698.3242297</v>
      </c>
      <c r="K15" s="20">
        <f>K13*K14</f>
        <v>2788964138.4948683</v>
      </c>
    </row>
    <row r="17" spans="1:2" x14ac:dyDescent="0.25">
      <c r="A17" s="22" t="s">
        <v>59</v>
      </c>
      <c r="B17" s="23">
        <f>SUM(B15:K15)</f>
        <v>33940909538.405293</v>
      </c>
    </row>
    <row r="19" spans="1:11" x14ac:dyDescent="0.25">
      <c r="A19" t="s">
        <v>7</v>
      </c>
      <c r="B19" s="9">
        <f>Assumptions!$B$10+($B$20-Assumptions!$B$10)*0/9</f>
        <v>0.02273614075349022</v>
      </c>
      <c r="C19" s="9">
        <f>Assumptions!$B$10+($B$20-Assumptions!$B$10)*1/9</f>
        <v>0.023758415221733463</v>
      </c>
      <c r="D19" s="9">
        <f>Assumptions!$B$10+($B$20-Assumptions!$B$10)*2/9</f>
        <v>0.024780689689976702</v>
      </c>
      <c r="E19" s="9">
        <f>Assumptions!$B$10+($B$20-Assumptions!$B$10)*3/9</f>
        <v>0.025802964158219945</v>
      </c>
      <c r="F19" s="9">
        <f>Assumptions!$B$10+($B$20-Assumptions!$B$10)*4/9</f>
        <v>0.026825238626463188</v>
      </c>
      <c r="G19" s="9">
        <f>Assumptions!$B$10+($B$20-Assumptions!$B$10)*5/9</f>
        <v>0.02784751309470643</v>
      </c>
      <c r="H19" s="9">
        <f>Assumptions!$B$10+($B$20-Assumptions!$B$10)*6/9</f>
        <v>0.028869787562949674</v>
      </c>
      <c r="I19" s="9">
        <f>Assumptions!$B$10+($B$20-Assumptions!$B$10)*7/9</f>
        <v>0.029892062031192913</v>
      </c>
      <c r="J19" s="9">
        <f>Assumptions!$B$10+($B$20-Assumptions!$B$10)*8/9</f>
        <v>0.030914336499436156</v>
      </c>
      <c r="K19" s="9">
        <f>Assumptions!$B$10+($B$20-Assumptions!$B$10)*9/9</f>
        <v>0.0319366109676794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0.0319366109676794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5291204997.360472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6949742481.885634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0.19986946272119432</v>
      </c>
    </row>
    <row r="7" spans="1:2" x14ac:dyDescent="0.25">
      <c r="A7" t="s">
        <v>66</v>
      </c>
      <c r="B7" s="18">
        <f>-MAX(B5,0)*B6</f>
        <v>-1389041295.9051414</v>
      </c>
    </row>
    <row r="8" spans="1:2" x14ac:dyDescent="0.25">
      <c r="A8" t="s">
        <v>67</v>
      </c>
      <c r="B8" s="18">
        <f>IF(OR(Assumptions!$B$33=0,Assumptions!B12&lt;=0),B5,MAX(B5+B7,0))</f>
        <v>5560701185.980494</v>
      </c>
    </row>
    <row r="9" spans="1:2" x14ac:dyDescent="0.25">
      <c r="A9" t="s">
        <v>68</v>
      </c>
      <c r="B9" s="18">
        <f>B8*(1+Assumptions!B12)/(Assumptions!B26-Assumptions!B12)</f>
        <v>127419802766.72583</v>
      </c>
    </row>
    <row r="10" spans="1:2" x14ac:dyDescent="0.25">
      <c r="A10" t="s">
        <v>69</v>
      </c>
      <c r="B10" s="18">
        <f>B9/(1+Assumptions!B26)^(10-0.5*Assumptions!B32)</f>
        <v>67162255219.32419</v>
      </c>
    </row>
    <row r="11" spans="1:2" x14ac:dyDescent="0.25">
      <c r="A11" t="s">
        <v>70</v>
      </c>
      <c r="B11" s="18">
        <f>Forecast!B17+B10</f>
        <v>101103164757.72948</v>
      </c>
    </row>
    <row r="12" spans="1:2" x14ac:dyDescent="0.25">
      <c r="A12" t="s">
        <v>71</v>
      </c>
      <c r="B12" s="18">
        <f>-Assumptions!B30</f>
        <v>-7456000000</v>
      </c>
    </row>
    <row r="13" spans="1:2" x14ac:dyDescent="0.25">
      <c r="A13" t="s">
        <v>72</v>
      </c>
      <c r="B13" s="18">
        <f>B11+B12</f>
        <v>93647164757.72948</v>
      </c>
    </row>
    <row r="14" spans="1:2" x14ac:dyDescent="0.25">
      <c r="A14" s="19" t="s">
        <v>73</v>
      </c>
      <c r="B14" s="24">
        <f>B13/Assumptions!B31</f>
        <v>343.7854800210333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9420993475.144861</v>
      </c>
    </row>
    <row r="18" spans="1:2" x14ac:dyDescent="0.25">
      <c r="A18" t="s">
        <v>68</v>
      </c>
      <c r="B18" s="18">
        <f>B17*Assumptions!B13</f>
        <v>162411479471.53012</v>
      </c>
    </row>
    <row r="19" spans="1:2" x14ac:dyDescent="0.25">
      <c r="A19" t="s">
        <v>69</v>
      </c>
      <c r="B19" s="18">
        <f>B18/(1+Assumptions!B26)^(10-0.5*Assumptions!B32)</f>
        <v>85606169511.85088</v>
      </c>
    </row>
    <row r="20" spans="1:2" x14ac:dyDescent="0.25">
      <c r="A20" t="s">
        <v>70</v>
      </c>
      <c r="B20" s="18">
        <f>Forecast!B17+B19</f>
        <v>119547079050.25616</v>
      </c>
    </row>
    <row r="21" spans="1:2" x14ac:dyDescent="0.25">
      <c r="A21" t="s">
        <v>71</v>
      </c>
      <c r="B21" s="18">
        <f>-Assumptions!B30</f>
        <v>-7456000000</v>
      </c>
    </row>
    <row r="22" spans="1:2" x14ac:dyDescent="0.25">
      <c r="A22" t="s">
        <v>72</v>
      </c>
      <c r="B22" s="18">
        <f>B20+B21</f>
        <v>112091079050.25616</v>
      </c>
    </row>
    <row r="23" spans="1:2" x14ac:dyDescent="0.25">
      <c r="A23" s="19" t="s">
        <v>73</v>
      </c>
      <c r="B23" s="25">
        <f>B22/Assumptions!B31</f>
        <v>411.4944164840535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372.59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343.7854800210333</v>
      </c>
    </row>
    <row r="29" spans="1:2" x14ac:dyDescent="0.25">
      <c r="A29" s="19" t="s">
        <v>81</v>
      </c>
      <c r="B29" s="11">
        <f>B28/B26-1</f>
        <v>-0.07730889175492273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0.049732</v>
      </c>
      <c r="B5" s="31">
        <v>529.5223081049631</v>
      </c>
      <c r="C5" s="31">
        <v>576.0406278887325</v>
      </c>
      <c r="D5" s="31">
        <v>642.4766557260426</v>
      </c>
      <c r="E5" s="31">
        <v>743.9715643719672</v>
      </c>
      <c r="F5" s="31">
        <v>916.2220149810834</v>
      </c>
    </row>
    <row r="6" spans="1:6" x14ac:dyDescent="0.25">
      <c r="A6" s="30">
        <v>0.059732</v>
      </c>
      <c r="B6" s="31">
        <v>402.8510739979194</v>
      </c>
      <c r="C6" s="31">
        <v>423.1638867250985</v>
      </c>
      <c r="D6" s="31">
        <v>450.0703555867375</v>
      </c>
      <c r="E6" s="31">
        <v>486.89702578722523</v>
      </c>
      <c r="F6" s="31">
        <v>539.6605162851068</v>
      </c>
    </row>
    <row r="7" spans="1:6" x14ac:dyDescent="0.25">
      <c r="A7" s="30">
        <v>0.069732</v>
      </c>
      <c r="B7" s="31">
        <v>322.6736121946778</v>
      </c>
      <c r="C7" s="31">
        <v>331.92172943593465</v>
      </c>
      <c r="D7" s="32">
        <v>343.7839327900261</v>
      </c>
      <c r="E7" s="31">
        <v>359.24711674231725</v>
      </c>
      <c r="F7" s="31">
        <v>379.86646697094346</v>
      </c>
    </row>
    <row r="8" spans="1:6" x14ac:dyDescent="0.25">
      <c r="A8" s="30">
        <v>0.079732</v>
      </c>
      <c r="B8" s="31">
        <v>267.42710882346836</v>
      </c>
      <c r="C8" s="31">
        <v>271.3466281070232</v>
      </c>
      <c r="D8" s="31">
        <v>276.4047147163836</v>
      </c>
      <c r="E8" s="31">
        <v>282.94477953160845</v>
      </c>
      <c r="F8" s="31">
        <v>291.46377491539056</v>
      </c>
    </row>
    <row r="9" spans="1:6" x14ac:dyDescent="0.25">
      <c r="A9" s="30">
        <v>0.089732</v>
      </c>
      <c r="B9" s="31">
        <v>227.09146820553806</v>
      </c>
      <c r="C9" s="31">
        <v>228.23584881821048</v>
      </c>
      <c r="D9" s="31">
        <v>229.89504040553493</v>
      </c>
      <c r="E9" s="31">
        <v>232.19832316271302</v>
      </c>
      <c r="F9" s="31">
        <v>235.32221845837384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52550000000</v>
      </c>
      <c r="C5" s="18">
        <v>47716000000</v>
      </c>
      <c r="D5" s="18">
        <v>42272000000</v>
      </c>
      <c r="E5" s="18">
        <v>39407000000</v>
      </c>
      <c r="F5" s="6" t="s">
        <v>91</v>
      </c>
    </row>
    <row r="6" spans="1:6" x14ac:dyDescent="0.25">
      <c r="A6" t="s">
        <v>51</v>
      </c>
      <c r="B6" s="18">
        <v>5356000000</v>
      </c>
      <c r="C6" s="18">
        <v>4796000000</v>
      </c>
      <c r="D6" s="18">
        <v>4245000000</v>
      </c>
      <c r="E6" s="18">
        <v>4211000000</v>
      </c>
      <c r="F6" s="6" t="s">
        <v>92</v>
      </c>
    </row>
    <row r="7" spans="1:6" x14ac:dyDescent="0.25">
      <c r="A7" t="s">
        <v>93</v>
      </c>
      <c r="B7" s="18">
        <v>924000000</v>
      </c>
      <c r="C7" s="18">
        <v>886000000</v>
      </c>
      <c r="D7" s="18">
        <v>863000000</v>
      </c>
      <c r="E7" s="18">
        <v>884000000</v>
      </c>
      <c r="F7" s="6" t="s">
        <v>94</v>
      </c>
    </row>
    <row r="8" spans="1:6" x14ac:dyDescent="0.25">
      <c r="A8" t="s">
        <v>95</v>
      </c>
      <c r="B8" s="18">
        <v>1161000000</v>
      </c>
      <c r="C8" s="18">
        <v>916000000</v>
      </c>
      <c r="D8" s="18">
        <v>904000000</v>
      </c>
      <c r="E8" s="18">
        <v>1114000000</v>
      </c>
      <c r="F8" s="6" t="s">
        <v>96</v>
      </c>
    </row>
    <row r="9" spans="1:6" x14ac:dyDescent="0.25">
      <c r="A9" t="s">
        <v>97</v>
      </c>
      <c r="B9" s="18">
        <v>-192000000</v>
      </c>
      <c r="C9" s="18">
        <v>850000000</v>
      </c>
      <c r="D9" s="18">
        <v>-844000000</v>
      </c>
      <c r="E9" s="18">
        <v>-680000000</v>
      </c>
      <c r="F9" s="6" t="s">
        <v>98</v>
      </c>
    </row>
    <row r="10" spans="1:6" x14ac:dyDescent="0.25">
      <c r="A10" t="s">
        <v>99</v>
      </c>
      <c r="B10" s="18">
        <v>9789000000</v>
      </c>
      <c r="C10" s="18">
        <v>10676000000</v>
      </c>
      <c r="D10" s="18">
        <v>11083000000</v>
      </c>
      <c r="E10" s="18">
        <v>12114000000</v>
      </c>
      <c r="F10" s="6" t="s">
        <v>100</v>
      </c>
    </row>
    <row r="11" spans="1:6" x14ac:dyDescent="0.25">
      <c r="A11" t="s">
        <v>101</v>
      </c>
      <c r="B11" s="18">
        <v>2333000000</v>
      </c>
      <c r="C11" s="18">
        <v>1697000000</v>
      </c>
      <c r="D11" s="18">
        <v>1913000000</v>
      </c>
      <c r="E11" s="18">
        <v>1242000000</v>
      </c>
      <c r="F11" s="6" t="s">
        <v>102</v>
      </c>
    </row>
    <row r="12" spans="1:6" x14ac:dyDescent="0.25">
      <c r="A12" t="s">
        <v>34</v>
      </c>
      <c r="B12" s="34">
        <v>272400000</v>
      </c>
      <c r="C12" s="34">
        <v>277500000</v>
      </c>
      <c r="D12" s="34">
        <v>275700000</v>
      </c>
      <c r="E12" s="34">
        <v>278200000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