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<sst xmlns="http://schemas.openxmlformats.org/spreadsheetml/2006/main" count="111" uniqueCount="99">
  <si>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General Dynamics Corporation (GD)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</si>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</sst>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0.10069361914442676</v>
      </c>
    </row>
    <row r="7" spans="1:2" x14ac:dyDescent="0.25">
      <c r="A7" t="s">
        <v>5</v>
      </c>
      <c r="B7" s="6">
        <v>0.10242840197703544</v>
      </c>
    </row>
    <row r="8" spans="1:2" x14ac:dyDescent="0.25">
      <c r="A8" t="s">
        <v>6</v>
      </c>
      <c r="B8" s="6">
        <v>0.16744101958494773</v>
      </c>
    </row>
    <row r="9" spans="1:2" x14ac:dyDescent="0.25">
      <c r="A9" t="s">
        <v>7</v>
      </c>
      <c r="B9" s="6">
        <v>0.019749854234326965</v>
      </c>
    </row>
    <row r="10" spans="1:2" x14ac:dyDescent="0.25">
      <c r="A10" t="s">
        <v>8</v>
      </c>
      <c r="B10" s="6">
        <v>0.02273614075349022</v>
      </c>
    </row>
    <row r="11" spans="1:2" x14ac:dyDescent="0.25">
      <c r="A11" t="s">
        <v>9</v>
      </c>
      <c r="B11" s="6">
        <v>-0.03971865949524204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16.39748581910828</v>
      </c>
    </row>
    <row r="14" spans="1:3" x14ac:dyDescent="0.25">
      <c r="A14" t="s">
        <v>12</v>
      </c>
      <c r="B14" s="6">
        <v>0.12508163908397288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0.5450699999999999</v>
      </c>
      <c r="C19" s="8" t="s">
        <v>19</v>
      </c>
    </row>
    <row r="20" spans="1:2" x14ac:dyDescent="0.25">
      <c r="A20" t="s">
        <v>20</v>
      </c>
      <c r="B20" s="10">
        <f>B17+B19*B18</f>
        <v>0.07995885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95520210944</v>
      </c>
    </row>
    <row r="23" spans="1:2" x14ac:dyDescent="0.25">
      <c r="A23" t="s">
        <v>24</v>
      </c>
      <c r="B23" s="11">
        <v>9789000000</v>
      </c>
    </row>
    <row r="24" spans="1:2" x14ac:dyDescent="0.25">
      <c r="A24" t="s">
        <v>25</v>
      </c>
      <c r="B24" s="10">
        <f>B22/(B22+B23)</f>
        <v>0.9070451681077976</v>
      </c>
    </row>
    <row r="25" spans="1:2" x14ac:dyDescent="0.25">
      <c r="A25" t="s">
        <v>26</v>
      </c>
      <c r="B25" s="10">
        <f>1-B24</f>
        <v>0.09295483189220244</v>
      </c>
    </row>
    <row r="26" spans="1:2" x14ac:dyDescent="0.25">
      <c r="A26" t="s">
        <v>27</v>
      </c>
      <c r="B26" s="12">
        <f>B24*B20+B25*B21*(1-B8)</f>
        <v>0.0763942597355961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52550000000</v>
      </c>
      <c r="C29" s="8" t="s">
        <v>30</v>
      </c>
    </row>
    <row r="30" spans="1:2" x14ac:dyDescent="0.25">
      <c r="A30" t="s">
        <v>31</v>
      </c>
      <c r="B30" s="11">
        <v>7456000000</v>
      </c>
    </row>
    <row r="31" spans="1:2" x14ac:dyDescent="0.25">
      <c r="A31" t="s">
        <v>32</v>
      </c>
      <c r="B31" s="13">
        <v>272400000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0.10069361914442676</v>
      </c>
      <c r="C5" s="10">
        <f>Assumptions!B6</f>
        <v>0.10069361914442676</v>
      </c>
      <c r="D5" s="10">
        <f>Assumptions!B6</f>
        <v>0.10069361914442676</v>
      </c>
      <c r="E5" s="10">
        <f>Assumptions!B6</f>
        <v>0.10069361914442676</v>
      </c>
      <c r="F5" s="10">
        <f>Assumptions!B6</f>
        <v>0.10069361914442676</v>
      </c>
    </row>
    <row r="6" spans="1:6" x14ac:dyDescent="0.25">
      <c r="A6" t="s">
        <v>43</v>
      </c>
      <c r="B6" s="18">
        <f>Assumptions!B29*(1+B5)</f>
        <v>57841449686.03963</v>
      </c>
      <c r="C6" s="18">
        <f>B6*(1+C5)</f>
        <v>63665714591.48722</v>
      </c>
      <c r="D6" s="18">
        <f>C6*(1+D5)</f>
        <v>70076445809.12021</v>
      </c>
      <c r="E6" s="18">
        <f>D6*(1+E5)</f>
        <v>77132696754.41882</v>
      </c>
      <c r="F6" s="18">
        <f>E6*(1+F5)</f>
        <v>84899467144.99083</v>
      </c>
    </row>
    <row r="7" spans="1:6" x14ac:dyDescent="0.25">
      <c r="A7" t="s">
        <v>5</v>
      </c>
      <c r="B7" s="10">
        <f>Assumptions!B7</f>
        <v>0.10242840197703544</v>
      </c>
      <c r="C7" s="10">
        <f>Assumptions!B7</f>
        <v>0.10242840197703544</v>
      </c>
      <c r="D7" s="10">
        <f>Assumptions!B7</f>
        <v>0.10242840197703544</v>
      </c>
      <c r="E7" s="10">
        <f>Assumptions!B7</f>
        <v>0.10242840197703544</v>
      </c>
      <c r="F7" s="10">
        <f>Assumptions!B7</f>
        <v>0.10242840197703544</v>
      </c>
    </row>
    <row r="8" spans="1:6" x14ac:dyDescent="0.25">
      <c r="A8" t="s">
        <v>44</v>
      </c>
      <c r="B8" s="18">
        <f>B6*B7</f>
        <v>5924607259.376138</v>
      </c>
      <c r="C8" s="18">
        <f>C6*C7</f>
        <v>6521177406.332064</v>
      </c>
      <c r="D8" s="18">
        <f>D6*D7</f>
        <v>7177818360.458506</v>
      </c>
      <c r="E8" s="18">
        <f>E6*E7</f>
        <v>7900578868.734388</v>
      </c>
      <c r="F8" s="18">
        <f>F6*F7</f>
        <v>8696116748.363234</v>
      </c>
    </row>
    <row r="9" spans="1:6" x14ac:dyDescent="0.25">
      <c r="A9" t="s">
        <v>45</v>
      </c>
      <c r="B9" s="18">
        <f>B8*(1-Assumptions!B8)</f>
        <v>4932584979.225815</v>
      </c>
      <c r="C9" s="18">
        <f>C8*(1-Assumptions!B8)</f>
        <v>5429264812.521498</v>
      </c>
      <c r="D9" s="18">
        <f>D8*(1-Assumptions!B8)</f>
        <v>5975957135.787776</v>
      </c>
      <c r="E9" s="18">
        <f>E8*(1-Assumptions!B8)</f>
        <v>6577697887.642209</v>
      </c>
      <c r="F9" s="18">
        <f>F8*(1-Assumptions!B8)</f>
        <v>7240030093.587553</v>
      </c>
    </row>
    <row r="10" spans="1:6" x14ac:dyDescent="0.25">
      <c r="A10" t="s">
        <v>46</v>
      </c>
      <c r="B10" s="18">
        <f>B6*Assumptions!B9</f>
        <v>1142360200.0014398</v>
      </c>
      <c r="C10" s="18">
        <f>C6*Assumptions!B9</f>
        <v>1257388582.9061358</v>
      </c>
      <c r="D10" s="18">
        <f>D6*Assumptions!B9</f>
        <v>1383999589.989837</v>
      </c>
      <c r="E10" s="18">
        <f>E6*Assumptions!B9</f>
        <v>1523359517.6003163</v>
      </c>
      <c r="F10" s="18">
        <f>F6*Assumptions!B9</f>
        <v>1676752100.6856003</v>
      </c>
    </row>
    <row r="11" spans="1:6" x14ac:dyDescent="0.25">
      <c r="A11" t="s">
        <v>47</v>
      </c>
      <c r="B11" s="18">
        <f>-B6*Assumptions!B10</f>
        <v>-1315091341.4477196</v>
      </c>
      <c r="C11" s="18">
        <f>-C6*Assumptions!B10</f>
        <v>-1447512648.1235895</v>
      </c>
      <c r="D11" s="18">
        <f>-D6*Assumptions!B10</f>
        <v>-1593267935.420487</v>
      </c>
      <c r="E11" s="18">
        <f>-E6*Assumptions!B10</f>
        <v>-1753699850.1047447</v>
      </c>
      <c r="F11" s="18">
        <f>-F6*Assumptions!B10</f>
        <v>-1930286234.90483</v>
      </c>
    </row>
    <row r="12" spans="1:6" x14ac:dyDescent="0.25">
      <c r="A12" t="s">
        <v>48</v>
      </c>
      <c r="B12" s="18">
        <f>-(B6-Assumptions!B29)*Assumptions!B11</f>
        <v>210169288.31601334</v>
      </c>
      <c r="C12" s="18">
        <f>-(C6-B6)*Assumptions!B11</f>
        <v>231331994.58956105</v>
      </c>
      <c r="D12" s="18">
        <f>-(D6-C6)*Assumptions!B11</f>
        <v>254625650.34868303</v>
      </c>
      <c r="E12" s="18">
        <f>-(E6-D6)*Assumptions!B11</f>
        <v>280264828.6092954</v>
      </c>
      <c r="F12" s="18">
        <f>-(F6-E6)*Assumptions!B11</f>
        <v>308485708.5208575</v>
      </c>
    </row>
    <row r="13" spans="1:6" x14ac:dyDescent="0.25">
      <c r="A13" s="19" t="s">
        <v>49</v>
      </c>
      <c r="B13" s="20">
        <f>B9+B10+B11+B12</f>
        <v>4970023126.095549</v>
      </c>
      <c r="C13" s="20">
        <f>C9+C10+C11+C12</f>
        <v>5470472741.893605</v>
      </c>
      <c r="D13" s="20">
        <f>D9+D10+D11+D12</f>
        <v>6021314440.70581</v>
      </c>
      <c r="E13" s="20">
        <f>E9+E10+E11+E12</f>
        <v>6627622383.747076</v>
      </c>
      <c r="F13" s="20">
        <f>F9+F10+F11+F12</f>
        <v>7294981667.889181</v>
      </c>
    </row>
    <row r="14" spans="1:6" x14ac:dyDescent="0.25">
      <c r="A14" t="s">
        <v>50</v>
      </c>
      <c r="B14" s="21">
        <f>1/(1+Assumptions!$B$26)^(1-0.5*Assumptions!$B$32)</f>
        <v>0.9638607900028007</v>
      </c>
      <c r="C14" s="21">
        <f>1/(1+Assumptions!$B$26)^(2-0.5*Assumptions!$B$32)</f>
        <v>0.8954532981619225</v>
      </c>
      <c r="D14" s="21">
        <f>1/(1+Assumptions!$B$26)^(3-0.5*Assumptions!$B$32)</f>
        <v>0.8319008486554733</v>
      </c>
      <c r="E14" s="21">
        <f>1/(1+Assumptions!$B$26)^(4-0.5*Assumptions!$B$32)</f>
        <v>0.7728588675861391</v>
      </c>
      <c r="F14" s="21">
        <f>1/(1+Assumptions!$B$26)^(5-0.5*Assumptions!$B$32)</f>
        <v>0.7180072362853207</v>
      </c>
    </row>
    <row r="15" spans="1:6" x14ac:dyDescent="0.25">
      <c r="A15" s="19" t="s">
        <v>51</v>
      </c>
      <c r="B15" s="20">
        <f>B13*B14</f>
        <v>4790410416.650644</v>
      </c>
      <c r="C15" s="20">
        <f>C13*C14</f>
        <v>4898552859.233524</v>
      </c>
      <c r="D15" s="20">
        <f>D13*D14</f>
        <v>5009136593.244619</v>
      </c>
      <c r="E15" s="20">
        <f>E13*E14</f>
        <v>5122216730.291313</v>
      </c>
      <c r="F15" s="20">
        <f>F13*F14</f>
        <v>5237849626.113191</v>
      </c>
    </row>
    <row r="17" spans="1:2" x14ac:dyDescent="0.25">
      <c r="A17" s="22" t="s">
        <v>52</v>
      </c>
      <c r="B17" s="23">
        <f>SUM(B15:F15)</f>
        <v>25058166225.53329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7294981667.889181</v>
      </c>
    </row>
    <row r="5" spans="1:2" x14ac:dyDescent="0.25">
      <c r="A5" t="s">
        <v>56</v>
      </c>
      <c r="B5" s="18">
        <f>IF(Assumptions!$B$33=0,B4,B4-Forecast!F11-Forecast!F10-Forecast!F12)</f>
        <v>7651928375.648764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0.19986946272119432</v>
      </c>
    </row>
    <row r="7" spans="1:2" x14ac:dyDescent="0.25">
      <c r="A7" t="s">
        <v>58</v>
      </c>
      <c r="B7" s="18">
        <f>-MAX(Forecast!F9,0)*B6</f>
        <v>-1529386813.2219796</v>
      </c>
    </row>
    <row r="8" spans="1:2" x14ac:dyDescent="0.25">
      <c r="A8" t="s">
        <v>59</v>
      </c>
      <c r="B8" s="18">
        <f>IF(OR(Assumptions!$B$33=0,Assumptions!B12&lt;=0),B5,MAX(B5+B7,0))</f>
        <v>6122541562.4267845</v>
      </c>
    </row>
    <row r="9" spans="1:2" x14ac:dyDescent="0.25">
      <c r="A9" t="s">
        <v>60</v>
      </c>
      <c r="B9" s="18">
        <f>B8*(1+Assumptions!B12)/(Assumptions!B26-Assumptions!B12)</f>
        <v>122107121179.93434</v>
      </c>
    </row>
    <row r="10" spans="1:2" x14ac:dyDescent="0.25">
      <c r="A10" t="s">
        <v>61</v>
      </c>
      <c r="B10" s="18">
        <f>B9/(1+Assumptions!B26)^(5-0.5*Assumptions!B32)</f>
        <v>87673796609.1614</v>
      </c>
    </row>
    <row r="11" spans="1:2" x14ac:dyDescent="0.25">
      <c r="A11" t="s">
        <v>62</v>
      </c>
      <c r="B11" s="18">
        <f>Forecast!B17+B10</f>
        <v>112731962834.6947</v>
      </c>
    </row>
    <row r="12" spans="1:2" x14ac:dyDescent="0.25">
      <c r="A12" t="s">
        <v>63</v>
      </c>
      <c r="B12" s="18">
        <f>-Assumptions!B30</f>
        <v>-7456000000</v>
      </c>
    </row>
    <row r="13" spans="1:2" x14ac:dyDescent="0.25">
      <c r="A13" t="s">
        <v>64</v>
      </c>
      <c r="B13" s="18">
        <f>B11+B12</f>
        <v>105275962834.6947</v>
      </c>
    </row>
    <row r="14" spans="1:2" x14ac:dyDescent="0.25">
      <c r="A14" s="19" t="s">
        <v>65</v>
      </c>
      <c r="B14" s="24">
        <f>B13/Assumptions!B31</f>
        <v>386.47563448860024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10372868849.048834</v>
      </c>
    </row>
    <row r="18" spans="1:2" x14ac:dyDescent="0.25">
      <c r="A18" t="s">
        <v>60</v>
      </c>
      <c r="B18" s="18">
        <f>B17*Assumptions!B13</f>
        <v>170088969855.74826</v>
      </c>
    </row>
    <row r="19" spans="1:2" x14ac:dyDescent="0.25">
      <c r="A19" t="s">
        <v>61</v>
      </c>
      <c r="B19" s="18">
        <f>B18/(1+Assumptions!B26)^(5-0.5*Assumptions!B32)</f>
        <v>122125111168.74303</v>
      </c>
    </row>
    <row r="20" spans="1:2" x14ac:dyDescent="0.25">
      <c r="A20" t="s">
        <v>62</v>
      </c>
      <c r="B20" s="18">
        <f>Forecast!B17+B19</f>
        <v>147183277394.2763</v>
      </c>
    </row>
    <row r="21" spans="1:2" x14ac:dyDescent="0.25">
      <c r="A21" t="s">
        <v>63</v>
      </c>
      <c r="B21" s="18">
        <f>-Assumptions!B30</f>
        <v>-7456000000</v>
      </c>
    </row>
    <row r="22" spans="1:2" x14ac:dyDescent="0.25">
      <c r="A22" t="s">
        <v>64</v>
      </c>
      <c r="B22" s="18">
        <f>B20+B21</f>
        <v>139727277394.2763</v>
      </c>
    </row>
    <row r="23" spans="1:2" x14ac:dyDescent="0.25">
      <c r="A23" s="19" t="s">
        <v>65</v>
      </c>
      <c r="B23" s="25">
        <f>B22/Assumptions!B31</f>
        <v>512.9488891126149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353.05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386.47563448860024</v>
      </c>
    </row>
    <row r="29" spans="1:2" x14ac:dyDescent="0.25">
      <c r="A29" s="19" t="s">
        <v>73</v>
      </c>
      <c r="B29" s="12">
        <f>B28/B26-1</f>
        <v>0.0946767723795503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0.056394</v>
      </c>
      <c r="B5" s="31">
        <v>542.7336124579417</v>
      </c>
      <c r="C5" s="31">
        <v>585.8641884310185</v>
      </c>
      <c r="D5" s="31">
        <v>642.4538093135028</v>
      </c>
      <c r="E5" s="31">
        <v>720.1513981046037</v>
      </c>
      <c r="F5" s="31">
        <v>833.7564087927869</v>
      </c>
    </row>
    <row r="6" spans="1:6" x14ac:dyDescent="0.25">
      <c r="A6" s="30">
        <v>0.066394</v>
      </c>
      <c r="B6" s="31">
        <v>432.44055200233686</v>
      </c>
      <c r="C6" s="31">
        <v>455.3513041515534</v>
      </c>
      <c r="D6" s="31">
        <v>483.59372694609664</v>
      </c>
      <c r="E6" s="31">
        <v>519.3652996319936</v>
      </c>
      <c r="F6" s="31">
        <v>566.263437268501</v>
      </c>
    </row>
    <row r="7" spans="1:6" x14ac:dyDescent="0.25">
      <c r="A7" s="30">
        <v>0.076394</v>
      </c>
      <c r="B7" s="31">
        <v>358.0826651994435</v>
      </c>
      <c r="C7" s="31">
        <v>371.09287215726465</v>
      </c>
      <c r="D7" s="32">
        <v>386.4776670691792</v>
      </c>
      <c r="E7" s="31">
        <v>405.00479618063724</v>
      </c>
      <c r="F7" s="31">
        <v>427.8129514033445</v>
      </c>
    </row>
    <row r="8" spans="1:6" x14ac:dyDescent="0.25">
      <c r="A8" s="30">
        <v>0.086394</v>
      </c>
      <c r="B8" s="31">
        <v>304.5601636659689</v>
      </c>
      <c r="C8" s="31">
        <v>312.1910565120372</v>
      </c>
      <c r="D8" s="31">
        <v>320.938916064151</v>
      </c>
      <c r="E8" s="31">
        <v>331.1008395417078</v>
      </c>
      <c r="F8" s="31">
        <v>343.08953969097433</v>
      </c>
    </row>
    <row r="9" spans="1:6" x14ac:dyDescent="0.25">
      <c r="A9" s="30">
        <v>0.096394</v>
      </c>
      <c r="B9" s="31">
        <v>264.19380556875905</v>
      </c>
      <c r="C9" s="31">
        <v>268.69000382239113</v>
      </c>
      <c r="D9" s="31">
        <v>273.71202366029047</v>
      </c>
      <c r="E9" s="31">
        <v>279.37866081345715</v>
      </c>
      <c r="F9" s="31">
        <v>285.84741047244717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52550000000</v>
      </c>
      <c r="C5" s="18">
        <v>47716000000</v>
      </c>
      <c r="D5" s="18">
        <v>42272000000</v>
      </c>
      <c r="E5" s="18">
        <v>39407000000</v>
      </c>
      <c r="F5" s="8" t="s">
        <v>84</v>
      </c>
    </row>
    <row r="6" spans="1:6" x14ac:dyDescent="0.25">
      <c r="A6" t="s">
        <v>44</v>
      </c>
      <c r="B6" s="18">
        <v>5356000000</v>
      </c>
      <c r="C6" s="18">
        <v>4796000000</v>
      </c>
      <c r="D6" s="18">
        <v>4245000000</v>
      </c>
      <c r="E6" s="18">
        <v>4211000000</v>
      </c>
      <c r="F6" s="8" t="s">
        <v>85</v>
      </c>
    </row>
    <row r="7" spans="1:6" x14ac:dyDescent="0.25">
      <c r="A7" t="s">
        <v>86</v>
      </c>
      <c r="B7" s="18">
        <v>924000000</v>
      </c>
      <c r="C7" s="18">
        <v>886000000</v>
      </c>
      <c r="D7" s="18">
        <v>863000000</v>
      </c>
      <c r="E7" s="18">
        <v>884000000</v>
      </c>
      <c r="F7" s="8" t="s">
        <v>87</v>
      </c>
    </row>
    <row r="8" spans="1:6" x14ac:dyDescent="0.25">
      <c r="A8" t="s">
        <v>88</v>
      </c>
      <c r="B8" s="18">
        <v>1161000000</v>
      </c>
      <c r="C8" s="18">
        <v>916000000</v>
      </c>
      <c r="D8" s="18">
        <v>904000000</v>
      </c>
      <c r="E8" s="18">
        <v>1114000000</v>
      </c>
      <c r="F8" s="8" t="s">
        <v>89</v>
      </c>
    </row>
    <row r="9" spans="1:6" x14ac:dyDescent="0.25">
      <c r="A9" t="s">
        <v>90</v>
      </c>
      <c r="B9" s="18">
        <v>-192000000</v>
      </c>
      <c r="C9" s="18">
        <v>850000000</v>
      </c>
      <c r="D9" s="18">
        <v>-844000000</v>
      </c>
      <c r="E9" s="18">
        <v>-680000000</v>
      </c>
      <c r="F9" s="8" t="s">
        <v>91</v>
      </c>
    </row>
    <row r="10" spans="1:6" x14ac:dyDescent="0.25">
      <c r="A10" t="s">
        <v>92</v>
      </c>
      <c r="B10" s="18">
        <v>9789000000</v>
      </c>
      <c r="C10" s="18">
        <v>10676000000</v>
      </c>
      <c r="D10" s="18">
        <v>11083000000</v>
      </c>
      <c r="E10" s="18">
        <v>12114000000</v>
      </c>
      <c r="F10" s="8" t="s">
        <v>93</v>
      </c>
    </row>
    <row r="11" spans="1:6" x14ac:dyDescent="0.25">
      <c r="A11" t="s">
        <v>94</v>
      </c>
      <c r="B11" s="18">
        <v>2333000000</v>
      </c>
      <c r="C11" s="18">
        <v>1697000000</v>
      </c>
      <c r="D11" s="18">
        <v>1913000000</v>
      </c>
      <c r="E11" s="18">
        <v>1242000000</v>
      </c>
      <c r="F11" s="8" t="s">
        <v>95</v>
      </c>
    </row>
    <row r="12" spans="1:6" x14ac:dyDescent="0.25">
      <c r="A12" t="s">
        <v>32</v>
      </c>
      <c r="B12" s="34">
        <v>272400000</v>
      </c>
      <c r="C12" s="34">
        <v>277500000</v>
      </c>
      <c r="D12" s="34">
        <v>275700000</v>
      </c>
      <c r="E12" s="34">
        <v>278200000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2026-09-19T00:06:12Z</dcterms:modified>
</cp:coreProperties>
</file>