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<sst xmlns="http://schemas.openxmlformats.org/spreadsheetml/2006/main" count="120" uniqueCount="107">
  <si>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GoDaddy Inc. (GDDY)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</si>
  <si>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</si>
  <si>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</si>
  <si>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</si>
  <si>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</si>
  <si>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</si>
  <si>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</si>
  <si>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</si>
  <si>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</si>
  <si>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</si>
  <si>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</si>
  <si>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</si>
  <si>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</si>
  <si>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</si>
  <si>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</si>
  <si>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</si>
  <si>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</si>
  <si>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</si>
  <si>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</si>
  <si>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</si>
  <si>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</si>
  <si>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</si>
  <si>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</si>
  <si>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</si>
  <si>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7.5x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</si>
  <si>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</si>
  <si>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</si>
  <si>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</si>
  <si>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</si>
  <si>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</si>
  <si>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</si>
  <si>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</si>
  <si>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</si>
  <si>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</si>
  <si>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</si>
  <si>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</si>
  <si>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</si>
  <si>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</si>
  <si>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</si>
  <si>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</si>
  <si>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</si>
  <si>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</si>
  <si>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</si>
  <si>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</si>
  <si>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</si>
  <si>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</si>
  <si>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</si>
  <si>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</si>
  <si>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</si>
  <si>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</si>
  <si>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</si>
  <si>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</si>
  <si>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</si>
  <si>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</si>
  <si>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</si>
  <si>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</si>
  <si>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</si>
  <si>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</si>
  <si>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</si>
  <si>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</si>
  <si>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</si>
  <si>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</si>
  <si>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</si>
  <si>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</si>
  <si>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</si>
  <si>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</si>
  <si>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</si>
  <si>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</si>
  <si>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</si>
  <si>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</si>
  <si>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</si>
  <si>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</si>
  <si>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</si>
  <si>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</si>
  <si>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</si>
  <si>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</si>
  <si>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</si>
  <si>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</si>
  <si>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</si>
  <si>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</si>
  <si>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</si>
  <si>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</si>
  <si>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</si>
  <si>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</si>
  <si>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</si>
  <si>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</si>
  <si>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</si>
  <si>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</si>
  <si>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</si>
  <si>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</si>
  <si>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</si>
  <si>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</si>
  <si>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</si>
  <si>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</si>
  <si>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</si>
  <si>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</si>
  <si>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</si>
  <si>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</si>
  <si>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</si>
  <si>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</si>
  <si>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</si>
  <si>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</si>
  <si>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</si>
  <si>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</si>
  <si>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</si>
  <si>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1.09% of revenue against depreciation and amortisation of 3.52%. A business cannot depreciate more than it invests indefinitely. Capex has been set to 3.52%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</si>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</sst>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0.06034910625921519</v>
      </c>
    </row>
    <row r="7" spans="1:2" x14ac:dyDescent="0.25">
      <c r="A7" t="s">
        <v>4</v>
      </c>
      <c r="B7" s="5">
        <v>0.1774240403318633</v>
      </c>
    </row>
    <row r="8" spans="1:2" x14ac:dyDescent="0.25">
      <c r="A8" t="s">
        <v>5</v>
      </c>
      <c r="B8" s="5">
        <v>0.0761275197315953</v>
      </c>
    </row>
    <row r="9" spans="1:2" x14ac:dyDescent="0.25">
      <c r="A9" t="s">
        <v>6</v>
      </c>
      <c r="B9" s="5">
        <v>0.03524177829038787</v>
      </c>
    </row>
    <row r="10" spans="1:3" x14ac:dyDescent="0.25">
      <c r="A10" t="s">
        <v>7</v>
      </c>
      <c r="B10" s="5">
        <v>0.03524177829038787</v>
      </c>
      <c r="C10" s="6" t="s">
        <v>8</v>
      </c>
    </row>
    <row r="11" spans="1:2" x14ac:dyDescent="0.25">
      <c r="A11" t="s">
        <v>9</v>
      </c>
      <c r="B11" s="5">
        <v>-0.0073649976286735835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14.047710062151394</v>
      </c>
    </row>
    <row r="14" spans="1:3" x14ac:dyDescent="0.25">
      <c r="A14" t="s">
        <v>12</v>
      </c>
      <c r="B14" s="5">
        <v>0.17204862339393912</v>
      </c>
      <c r="C14" s="6" t="s">
        <v>13</v>
      </c>
    </row>
    <row r="15" spans="1:3" x14ac:dyDescent="0.25">
      <c r="A15" t="s">
        <v>14</v>
      </c>
      <c r="B15" s="5">
        <v>0.03524177829038787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0.9598</v>
      </c>
      <c r="C19" s="6" t="s">
        <v>21</v>
      </c>
    </row>
    <row r="20" spans="1:2" x14ac:dyDescent="0.25">
      <c r="A20" t="s">
        <v>22</v>
      </c>
      <c r="B20" s="9">
        <f>B17+B19*B18</f>
        <v>0.08953954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14848176128</v>
      </c>
    </row>
    <row r="23" spans="1:2" x14ac:dyDescent="0.25">
      <c r="A23" t="s">
        <v>26</v>
      </c>
      <c r="B23" s="10">
        <v>3862600000</v>
      </c>
    </row>
    <row r="24" spans="1:2" x14ac:dyDescent="0.25">
      <c r="A24" t="s">
        <v>27</v>
      </c>
      <c r="B24" s="9">
        <f>B22/(B22+B23)</f>
        <v>0.7935628124896562</v>
      </c>
    </row>
    <row r="25" spans="1:2" x14ac:dyDescent="0.25">
      <c r="A25" t="s">
        <v>28</v>
      </c>
      <c r="B25" s="9">
        <f>1-B24</f>
        <v>0.2064371875103438</v>
      </c>
    </row>
    <row r="26" spans="1:2" x14ac:dyDescent="0.25">
      <c r="A26" t="s">
        <v>29</v>
      </c>
      <c r="B26" s="11">
        <f>B24*B20+B25*B21*(1-B8)</f>
        <v>0.0814381350794858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4951100000</v>
      </c>
      <c r="C29" s="6" t="s">
        <v>32</v>
      </c>
    </row>
    <row r="30" spans="1:2" x14ac:dyDescent="0.25">
      <c r="A30" t="s">
        <v>33</v>
      </c>
      <c r="B30" s="10">
        <v>2781700000</v>
      </c>
    </row>
    <row r="31" spans="1:2" x14ac:dyDescent="0.25">
      <c r="A31" t="s">
        <v>34</v>
      </c>
      <c r="B31" s="12">
        <v>140621000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0.06034910625921519</v>
      </c>
      <c r="C5" s="5">
        <v>0.04999078971960902</v>
      </c>
      <c r="D5" s="5">
        <v>0.046866941004657894</v>
      </c>
      <c r="E5" s="5">
        <v>0.04374309228970676</v>
      </c>
      <c r="F5" s="5">
        <v>0.04061924357475564</v>
      </c>
      <c r="G5" s="5">
        <v>0.03749539485980451</v>
      </c>
      <c r="H5" s="5">
        <v>0.03437154614485338</v>
      </c>
      <c r="I5" s="5">
        <v>0.031247697429902258</v>
      </c>
      <c r="J5" s="5">
        <v>0.02812384871495113</v>
      </c>
      <c r="K5" s="5">
        <v>0.025</v>
      </c>
    </row>
    <row r="6" spans="1:11" x14ac:dyDescent="0.25">
      <c r="A6" t="s">
        <v>50</v>
      </c>
      <c r="B6" s="18">
        <f>Assumptions!B29*(1+B5)</f>
        <v>5249894460</v>
      </c>
      <c r="C6" s="18">
        <f>B6*(1+C5)</f>
        <v>5512340830</v>
      </c>
      <c r="D6" s="18">
        <f>C6*(1+D5)</f>
        <v>5770687382.477177</v>
      </c>
      <c r="E6" s="18">
        <f>D6*(1+E5)</f>
        <v>6023115093.223923</v>
      </c>
      <c r="F6" s="18">
        <f>E6*(1+F5)</f>
        <v>6267769472.274372</v>
      </c>
      <c r="G6" s="18">
        <f>F6*(1+G5)</f>
        <v>6502781963.527528</v>
      </c>
      <c r="H6" s="18">
        <f>G6*(1+H5)</f>
        <v>6726292633.856835</v>
      </c>
      <c r="I6" s="18">
        <f>H6*(1+I5)</f>
        <v>6936473790.904574</v>
      </c>
      <c r="J6" s="18">
        <f>I6*(1+J5)</f>
        <v>7131554130.415198</v>
      </c>
      <c r="K6" s="18">
        <f>J6*(1+K5)</f>
        <v>7309842983.675578</v>
      </c>
    </row>
    <row r="7" spans="1:11" x14ac:dyDescent="0.25">
      <c r="A7" t="s">
        <v>4</v>
      </c>
      <c r="B7" s="9">
        <f>Assumptions!B7</f>
        <v>0.1774240403318633</v>
      </c>
      <c r="C7" s="9">
        <f>Assumptions!B7</f>
        <v>0.1774240403318633</v>
      </c>
      <c r="D7" s="9">
        <f>Assumptions!B7</f>
        <v>0.1774240403318633</v>
      </c>
      <c r="E7" s="9">
        <f>Assumptions!B7</f>
        <v>0.1774240403318633</v>
      </c>
      <c r="F7" s="9">
        <f>Assumptions!B7</f>
        <v>0.1774240403318633</v>
      </c>
      <c r="G7" s="9">
        <f>Assumptions!B7</f>
        <v>0.1774240403318633</v>
      </c>
      <c r="H7" s="9">
        <f>Assumptions!B7</f>
        <v>0.1774240403318633</v>
      </c>
      <c r="I7" s="9">
        <f>Assumptions!B7</f>
        <v>0.1774240403318633</v>
      </c>
      <c r="J7" s="9">
        <f>Assumptions!B7</f>
        <v>0.1774240403318633</v>
      </c>
      <c r="K7" s="9">
        <f>Assumptions!B7</f>
        <v>0.1774240403318633</v>
      </c>
    </row>
    <row r="8" spans="1:11" x14ac:dyDescent="0.25">
      <c r="A8" t="s">
        <v>51</v>
      </c>
      <c r="B8" s="18">
        <f>B6*B7</f>
        <v>931457486.4090656</v>
      </c>
      <c r="C8" s="18">
        <f>C6*C7</f>
        <v>978021781.7448968</v>
      </c>
      <c r="D8" s="18">
        <f>D6*D7</f>
        <v>1023858670.8912052</v>
      </c>
      <c r="E8" s="18">
        <f>E6*E7</f>
        <v>1068645415.2236158</v>
      </c>
      <c r="F8" s="18">
        <f>F6*F7</f>
        <v>1112052983.6396296</v>
      </c>
      <c r="G8" s="18">
        <f>G6*G7</f>
        <v>1153749849.3662212</v>
      </c>
      <c r="H8" s="18">
        <f>H6*H7</f>
        <v>1193406015.5533302</v>
      </c>
      <c r="I8" s="18">
        <f>I6*I7</f>
        <v>1230697205.638366</v>
      </c>
      <c r="J8" s="18">
        <f>J6*J7</f>
        <v>1265309147.6636524</v>
      </c>
      <c r="K8" s="18">
        <f>K6*K7</f>
        <v>1296941876.3552437</v>
      </c>
    </row>
    <row r="9" spans="1:11" x14ac:dyDescent="0.25">
      <c r="A9" t="s">
        <v>52</v>
      </c>
      <c r="B9" s="18">
        <f>B8*(1-Assumptions!B8)</f>
        <v>860547938.2333174</v>
      </c>
      <c r="C9" s="18">
        <f>C8*(1-Assumptions!B8)</f>
        <v>903567409.2571822</v>
      </c>
      <c r="D9" s="18">
        <f>D8*(1-Assumptions!B8)</f>
        <v>945914849.7205701</v>
      </c>
      <c r="E9" s="18">
        <f>E8*(1-Assumptions!B8)</f>
        <v>987292090.2901012</v>
      </c>
      <c r="F9" s="18">
        <f>F8*(1-Assumptions!B8)</f>
        <v>1027395148.1850243</v>
      </c>
      <c r="G9" s="18">
        <f>G8*(1-Assumptions!B8)</f>
        <v>1065917734.9432691</v>
      </c>
      <c r="H9" s="18">
        <f>H8*(1-Assumptions!B8)</f>
        <v>1102554975.5564895</v>
      </c>
      <c r="I9" s="18">
        <f>I8*(1-Assumptions!B8)</f>
        <v>1137007279.8325121</v>
      </c>
      <c r="J9" s="18">
        <f>J8*(1-Assumptions!B8)</f>
        <v>1168984300.5583198</v>
      </c>
      <c r="K9" s="18">
        <f>K8*(1-Assumptions!B8)</f>
        <v>1198208908.0722778</v>
      </c>
    </row>
    <row r="10" spans="1:11" x14ac:dyDescent="0.25">
      <c r="A10" t="s">
        <v>53</v>
      </c>
      <c r="B10" s="18">
        <f>B6*Assumptions!B9</f>
        <v>185015616.60725555</v>
      </c>
      <c r="C10" s="18">
        <f>C6*Assumptions!B9</f>
        <v>194264693.39191264</v>
      </c>
      <c r="D10" s="18">
        <f>D6*Assumptions!B9</f>
        <v>203369285.31639937</v>
      </c>
      <c r="E10" s="18">
        <f>E6*Assumptions!B9</f>
        <v>212265286.73288634</v>
      </c>
      <c r="F10" s="18">
        <f>F6*Assumptions!B9</f>
        <v>220887342.11715478</v>
      </c>
      <c r="G10" s="18">
        <f>G6*Assumptions!B9</f>
        <v>229169600.22937024</v>
      </c>
      <c r="H10" s="18">
        <f>H6*Assumptions!B9</f>
        <v>237046513.71865165</v>
      </c>
      <c r="I10" s="18">
        <f>I6*Assumptions!B9</f>
        <v>244453671.45614526</v>
      </c>
      <c r="J10" s="18">
        <f>J6*Assumptions!B9</f>
        <v>251328649.52999225</v>
      </c>
      <c r="K10" s="18">
        <f>K6*Assumptions!B9</f>
        <v>257611865.76824206</v>
      </c>
    </row>
    <row r="11" spans="1:11" x14ac:dyDescent="0.25">
      <c r="A11" t="s">
        <v>54</v>
      </c>
      <c r="B11" s="18">
        <f>-B6*B19</f>
        <v>-185015616.60725555</v>
      </c>
      <c r="C11" s="18">
        <f>-C6*C19</f>
        <v>-208853066.2637601</v>
      </c>
      <c r="D11" s="18">
        <f>-D6*D19</f>
        <v>-233913455.88157192</v>
      </c>
      <c r="E11" s="18">
        <f>-E6*E19</f>
        <v>-260085687.2885625</v>
      </c>
      <c r="F11" s="18">
        <f>-F6*F19</f>
        <v>-287237780.8554075</v>
      </c>
      <c r="G11" s="18">
        <f>-G6*G19</f>
        <v>-315217443.5267012</v>
      </c>
      <c r="H11" s="18">
        <f>-H6*H19</f>
        <v>-343853042.57532</v>
      </c>
      <c r="I11" s="18">
        <f>-I6*I19</f>
        <v>-372954989.56905156</v>
      </c>
      <c r="J11" s="18">
        <f>-J6*J19</f>
        <v>-402317529.2364899</v>
      </c>
      <c r="K11" s="18">
        <f>-K6*K19</f>
        <v>-431720917.6797972</v>
      </c>
    </row>
    <row r="12" spans="1:11" x14ac:dyDescent="0.25">
      <c r="A12" t="s">
        <v>55</v>
      </c>
      <c r="B12" s="18">
        <f>-(B6-Assumptions!B29)*Assumptions!B11</f>
        <v>2200620.4893608037</v>
      </c>
      <c r="C12" s="18">
        <f>-(C6-B6)*Assumptions!B11</f>
        <v>1932916.89270399</v>
      </c>
      <c r="D12" s="18">
        <f>-(D6-C6)*Assumptions!B11</f>
        <v>1902721.7463704017</v>
      </c>
      <c r="E12" s="18">
        <f>-(E6-D6)*Assumptions!B11</f>
        <v>1859129.491061286</v>
      </c>
      <c r="F12" s="18">
        <f>-(F6-E6)*Assumptions!B11</f>
        <v>1801878.9215511677</v>
      </c>
      <c r="G12" s="18">
        <f>-(G6-F6)*Assumptions!B11</f>
        <v>1730866.440788163</v>
      </c>
      <c r="H12" s="18">
        <f>-(H6-G6)*Assumptions!B11</f>
        <v>1646155.5569585932</v>
      </c>
      <c r="I12" s="18">
        <f>-(I6-H6)*Assumptions!B11</f>
        <v>1547983.723248468</v>
      </c>
      <c r="J12" s="18">
        <f>-(J6-I6)*Assumptions!B11</f>
        <v>1436766.2378965828</v>
      </c>
      <c r="K12" s="18">
        <f>-(K6-J6)*Assumptions!B11</f>
        <v>1313096.9814816297</v>
      </c>
    </row>
    <row r="13" spans="1:11" x14ac:dyDescent="0.25">
      <c r="A13" s="19" t="s">
        <v>56</v>
      </c>
      <c r="B13" s="20">
        <f>B9+B10+B11+B12</f>
        <v>862748558.7226782</v>
      </c>
      <c r="C13" s="20">
        <f>C9+C10+C11+C12</f>
        <v>890911953.2780387</v>
      </c>
      <c r="D13" s="20">
        <f>D9+D10+D11+D12</f>
        <v>917273400.901768</v>
      </c>
      <c r="E13" s="20">
        <f>E9+E10+E11+E12</f>
        <v>941330819.2254864</v>
      </c>
      <c r="F13" s="20">
        <f>F9+F10+F11+F12</f>
        <v>962846588.3683227</v>
      </c>
      <c r="G13" s="20">
        <f>G9+G10+G11+G12</f>
        <v>981600758.0867263</v>
      </c>
      <c r="H13" s="20">
        <f>H9+H10+H11+H12</f>
        <v>997394602.2567798</v>
      </c>
      <c r="I13" s="20">
        <f>I9+I10+I11+I12</f>
        <v>1010053945.4428544</v>
      </c>
      <c r="J13" s="20">
        <f>J9+J10+J11+J12</f>
        <v>1019432187.0897188</v>
      </c>
      <c r="K13" s="20">
        <f>K9+K10+K11+K12</f>
        <v>1025412953.1422044</v>
      </c>
    </row>
    <row r="14" spans="1:11" x14ac:dyDescent="0.25">
      <c r="A14" t="s">
        <v>57</v>
      </c>
      <c r="B14" s="21">
        <f>1/(1+Assumptions!$B$26)^(1-0.5*Assumptions!$B$32)</f>
        <v>0.9616104182774474</v>
      </c>
      <c r="C14" s="21">
        <f>1/(1+Assumptions!$B$26)^(2-0.5*Assumptions!$B$32)</f>
        <v>0.8891959577574624</v>
      </c>
      <c r="D14" s="21">
        <f>1/(1+Assumptions!$B$26)^(3-0.5*Assumptions!$B$32)</f>
        <v>0.8222346974032929</v>
      </c>
      <c r="E14" s="21">
        <f>1/(1+Assumptions!$B$26)^(4-0.5*Assumptions!$B$32)</f>
        <v>0.7603159817763026</v>
      </c>
      <c r="F14" s="21">
        <f>1/(1+Assumptions!$B$26)^(5-0.5*Assumptions!$B$32)</f>
        <v>0.7030600800113448</v>
      </c>
      <c r="G14" s="21">
        <f>1/(1+Assumptions!$B$26)^(6-0.5*Assumptions!$B$32)</f>
        <v>0.6501158570292787</v>
      </c>
      <c r="H14" s="21">
        <f>1/(1+Assumptions!$B$26)^(7-0.5*Assumptions!$B$32)</f>
        <v>0.6011586201197678</v>
      </c>
      <c r="I14" s="21">
        <f>1/(1+Assumptions!$B$26)^(8-0.5*Assumptions!$B$32)</f>
        <v>0.5558881276880278</v>
      </c>
      <c r="J14" s="21">
        <f>1/(1+Assumptions!$B$26)^(9-0.5*Assumptions!$B$32)</f>
        <v>0.5140267479537052</v>
      </c>
      <c r="K14" s="21">
        <f>1/(1+Assumptions!$B$26)^(10-0.5*Assumptions!$B$32)</f>
        <v>0.4753177563096795</v>
      </c>
    </row>
    <row r="15" spans="1:11" x14ac:dyDescent="0.25">
      <c r="A15" s="19" t="s">
        <v>58</v>
      </c>
      <c r="B15" s="20">
        <f>B13*B14</f>
        <v>829628002.4215795</v>
      </c>
      <c r="C15" s="20">
        <f>C13*C14</f>
        <v>792195307.5726372</v>
      </c>
      <c r="D15" s="20">
        <f>D13*D14</f>
        <v>754214017.2265546</v>
      </c>
      <c r="E15" s="20">
        <f>E13*E14</f>
        <v>715708865.9957168</v>
      </c>
      <c r="F15" s="20">
        <f>F13*F14</f>
        <v>676938999.4568833</v>
      </c>
      <c r="G15" s="20">
        <f>G13*G14</f>
        <v>638154218.1041417</v>
      </c>
      <c r="H15" s="20">
        <f>H13*H14</f>
        <v>599592362.8075904</v>
      </c>
      <c r="I15" s="20">
        <f>I13*I14</f>
        <v>561476996.5961337</v>
      </c>
      <c r="J15" s="20">
        <f>J13*J14</f>
        <v>524015411.88906133</v>
      </c>
      <c r="K15" s="20">
        <f>K13*K14</f>
        <v>487396984.1784351</v>
      </c>
    </row>
    <row r="17" spans="1:2" x14ac:dyDescent="0.25">
      <c r="A17" s="22" t="s">
        <v>59</v>
      </c>
      <c r="B17" s="23">
        <f>SUM(B15:K15)</f>
        <v>6579321166.248734</v>
      </c>
    </row>
    <row r="19" spans="1:11" x14ac:dyDescent="0.25">
      <c r="A19" t="s">
        <v>7</v>
      </c>
      <c r="B19" s="9">
        <f>Assumptions!$B$10+($B$20-Assumptions!$B$10)*0/9</f>
        <v>0.03524177829038787</v>
      </c>
      <c r="C19" s="9">
        <f>Assumptions!$B$10+($B$20-Assumptions!$B$10)*1/9</f>
        <v>0.03788827155373121</v>
      </c>
      <c r="D19" s="9">
        <f>Assumptions!$B$10+($B$20-Assumptions!$B$10)*2/9</f>
        <v>0.040534764817074555</v>
      </c>
      <c r="E19" s="9">
        <f>Assumptions!$B$10+($B$20-Assumptions!$B$10)*3/9</f>
        <v>0.043181258080417895</v>
      </c>
      <c r="F19" s="9">
        <f>Assumptions!$B$10+($B$20-Assumptions!$B$10)*4/9</f>
        <v>0.045827751343761235</v>
      </c>
      <c r="G19" s="9">
        <f>Assumptions!$B$10+($B$20-Assumptions!$B$10)*5/9</f>
        <v>0.04847424460710458</v>
      </c>
      <c r="H19" s="9">
        <f>Assumptions!$B$10+($B$20-Assumptions!$B$10)*6/9</f>
        <v>0.05112073787044792</v>
      </c>
      <c r="I19" s="9">
        <f>Assumptions!$B$10+($B$20-Assumptions!$B$10)*7/9</f>
        <v>0.05376723113379127</v>
      </c>
      <c r="J19" s="9">
        <f>Assumptions!$B$10+($B$20-Assumptions!$B$10)*8/9</f>
        <v>0.0564137243971346</v>
      </c>
      <c r="K19" s="9">
        <f>Assumptions!$B$10+($B$20-Assumptions!$B$10)*9/9</f>
        <v>0.05906021766047795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0.05906021766047795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1025412953.1422044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1198208908.0722778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0.14530775955560882</v>
      </c>
    </row>
    <row r="7" spans="1:2" x14ac:dyDescent="0.25">
      <c r="A7" t="s">
        <v>66</v>
      </c>
      <c r="B7" s="18">
        <f>-MAX(B5,0)*B6</f>
        <v>-174109051.91155514</v>
      </c>
    </row>
    <row r="8" spans="1:2" x14ac:dyDescent="0.25">
      <c r="A8" t="s">
        <v>67</v>
      </c>
      <c r="B8" s="18">
        <f>IF(OR(Assumptions!$B$33=0,Assumptions!B12&lt;=0),B5,MAX(B5+B7,0))</f>
        <v>1024099856.1607226</v>
      </c>
    </row>
    <row r="9" spans="1:2" x14ac:dyDescent="0.25">
      <c r="A9" t="s">
        <v>68</v>
      </c>
      <c r="B9" s="18">
        <f>B8*(1+Assumptions!B12)/(Assumptions!B26-Assumptions!B12)</f>
        <v>18599167940.017345</v>
      </c>
    </row>
    <row r="10" spans="1:2" x14ac:dyDescent="0.25">
      <c r="A10" t="s">
        <v>69</v>
      </c>
      <c r="B10" s="18">
        <f>B9/(1+Assumptions!B26)^(10-0.5*Assumptions!B32)</f>
        <v>8840514774.475967</v>
      </c>
    </row>
    <row r="11" spans="1:2" x14ac:dyDescent="0.25">
      <c r="A11" t="s">
        <v>70</v>
      </c>
      <c r="B11" s="18">
        <f>Forecast!B17+B10</f>
        <v>15419835940.7247</v>
      </c>
    </row>
    <row r="12" spans="1:2" x14ac:dyDescent="0.25">
      <c r="A12" t="s">
        <v>71</v>
      </c>
      <c r="B12" s="18">
        <f>-Assumptions!B30</f>
        <v>-2781700000</v>
      </c>
    </row>
    <row r="13" spans="1:2" x14ac:dyDescent="0.25">
      <c r="A13" t="s">
        <v>72</v>
      </c>
      <c r="B13" s="18">
        <f>B11+B12</f>
        <v>12638135940.7247</v>
      </c>
    </row>
    <row r="14" spans="1:2" x14ac:dyDescent="0.25">
      <c r="A14" s="19" t="s">
        <v>73</v>
      </c>
      <c r="B14" s="24">
        <f>B13/Assumptions!B31</f>
        <v>89.87374532057588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1554553742.1234858</v>
      </c>
    </row>
    <row r="18" spans="1:2" x14ac:dyDescent="0.25">
      <c r="A18" t="s">
        <v>68</v>
      </c>
      <c r="B18" s="18">
        <f>B17*Assumptions!B13</f>
        <v>21837920245.383194</v>
      </c>
    </row>
    <row r="19" spans="1:2" x14ac:dyDescent="0.25">
      <c r="A19" t="s">
        <v>69</v>
      </c>
      <c r="B19" s="18">
        <f>B18/(1+Assumptions!B26)^(10-0.5*Assumptions!B32)</f>
        <v>10379951253.505264</v>
      </c>
    </row>
    <row r="20" spans="1:2" x14ac:dyDescent="0.25">
      <c r="A20" t="s">
        <v>70</v>
      </c>
      <c r="B20" s="18">
        <f>Forecast!B17+B19</f>
        <v>16959272419.753998</v>
      </c>
    </row>
    <row r="21" spans="1:2" x14ac:dyDescent="0.25">
      <c r="A21" t="s">
        <v>71</v>
      </c>
      <c r="B21" s="18">
        <f>-Assumptions!B30</f>
        <v>-2781700000</v>
      </c>
    </row>
    <row r="22" spans="1:2" x14ac:dyDescent="0.25">
      <c r="A22" t="s">
        <v>72</v>
      </c>
      <c r="B22" s="18">
        <f>B20+B21</f>
        <v>14177572419.753998</v>
      </c>
    </row>
    <row r="23" spans="1:2" x14ac:dyDescent="0.25">
      <c r="A23" s="19" t="s">
        <v>73</v>
      </c>
      <c r="B23" s="25">
        <f>B22/Assumptions!B31</f>
        <v>100.8211605645956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117.24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89.87374532057588</v>
      </c>
    </row>
    <row r="29" spans="1:2" x14ac:dyDescent="0.25">
      <c r="A29" s="19" t="s">
        <v>81</v>
      </c>
      <c r="B29" s="11">
        <f>B28/B26-1</f>
        <v>-0.23342080074568505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0.061438</v>
      </c>
      <c r="B5" s="31">
        <v>129.20555451876035</v>
      </c>
      <c r="C5" s="31">
        <v>137.15904396248555</v>
      </c>
      <c r="D5" s="31">
        <v>147.4657766013319</v>
      </c>
      <c r="E5" s="31">
        <v>161.2485543923838</v>
      </c>
      <c r="F5" s="31">
        <v>180.47956423643103</v>
      </c>
    </row>
    <row r="6" spans="1:6" x14ac:dyDescent="0.25">
      <c r="A6" s="30">
        <v>0.071438</v>
      </c>
      <c r="B6" s="31">
        <v>103.0836434096671</v>
      </c>
      <c r="C6" s="31">
        <v>107.27051421427674</v>
      </c>
      <c r="D6" s="31">
        <v>112.48539166856554</v>
      </c>
      <c r="E6" s="31">
        <v>119.1004003862984</v>
      </c>
      <c r="F6" s="31">
        <v>127.6919158258336</v>
      </c>
    </row>
    <row r="7" spans="1:6" x14ac:dyDescent="0.25">
      <c r="A7" s="30">
        <v>0.081438</v>
      </c>
      <c r="B7" s="31">
        <v>84.83229206634844</v>
      </c>
      <c r="C7" s="31">
        <v>87.10281539857785</v>
      </c>
      <c r="D7" s="32">
        <v>89.87399680808257</v>
      </c>
      <c r="E7" s="31">
        <v>93.29183480100846</v>
      </c>
      <c r="F7" s="31">
        <v>97.56520677843473</v>
      </c>
    </row>
    <row r="8" spans="1:6" x14ac:dyDescent="0.25">
      <c r="A8" s="30">
        <v>0.091438</v>
      </c>
      <c r="B8" s="31">
        <v>71.36208999933928</v>
      </c>
      <c r="C8" s="31">
        <v>72.57436280503615</v>
      </c>
      <c r="D8" s="31">
        <v>74.0481804731505</v>
      </c>
      <c r="E8" s="31">
        <v>75.84739880849797</v>
      </c>
      <c r="F8" s="31">
        <v>78.05850227205339</v>
      </c>
    </row>
    <row r="9" spans="1:6" x14ac:dyDescent="0.25">
      <c r="A9" s="30">
        <v>0.101438</v>
      </c>
      <c r="B9" s="31">
        <v>61.013305245278694</v>
      </c>
      <c r="C9" s="31">
        <v>61.608273159617475</v>
      </c>
      <c r="D9" s="31">
        <v>62.34618628562588</v>
      </c>
      <c r="E9" s="31">
        <v>63.257059155836274</v>
      </c>
      <c r="F9" s="31">
        <v>64.37994165379459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4951100000</v>
      </c>
      <c r="C5" s="18">
        <v>4573200000</v>
      </c>
      <c r="D5" s="18">
        <v>4254100000</v>
      </c>
      <c r="E5" s="18">
        <v>4091300000</v>
      </c>
      <c r="F5" s="6" t="s">
        <v>91</v>
      </c>
    </row>
    <row r="6" spans="1:6" x14ac:dyDescent="0.25">
      <c r="A6" t="s">
        <v>51</v>
      </c>
      <c r="B6" s="18">
        <v>1138400000</v>
      </c>
      <c r="C6" s="18">
        <v>932900000</v>
      </c>
      <c r="D6" s="18">
        <v>638200000</v>
      </c>
      <c r="E6" s="18">
        <v>514500000</v>
      </c>
      <c r="F6" s="6" t="s">
        <v>92</v>
      </c>
    </row>
    <row r="7" spans="1:6" x14ac:dyDescent="0.25">
      <c r="A7" t="s">
        <v>93</v>
      </c>
      <c r="B7" s="18">
        <v>116600000</v>
      </c>
      <c r="C7" s="18">
        <v>135300000</v>
      </c>
      <c r="D7" s="18">
        <v>171300000</v>
      </c>
      <c r="E7" s="18">
        <v>194600000</v>
      </c>
      <c r="F7" s="6" t="s">
        <v>94</v>
      </c>
    </row>
    <row r="8" spans="1:6" x14ac:dyDescent="0.25">
      <c r="A8" t="s">
        <v>95</v>
      </c>
      <c r="B8" s="18">
        <v>23900000</v>
      </c>
      <c r="C8" s="18">
        <v>26600000</v>
      </c>
      <c r="D8" s="18">
        <v>77400000</v>
      </c>
      <c r="E8" s="18">
        <v>60100000</v>
      </c>
      <c r="F8" s="6" t="s">
        <v>96</v>
      </c>
    </row>
    <row r="9" spans="1:6" x14ac:dyDescent="0.25">
      <c r="A9" t="s">
        <v>97</v>
      </c>
      <c r="B9" s="18">
        <v>-103000000</v>
      </c>
      <c r="C9" s="18">
        <v>-61200000</v>
      </c>
      <c r="D9" s="18">
        <v>-130500000</v>
      </c>
      <c r="E9" s="18">
        <v>-81400000</v>
      </c>
      <c r="F9" s="6" t="s">
        <v>98</v>
      </c>
    </row>
    <row r="10" spans="1:6" x14ac:dyDescent="0.25">
      <c r="A10" t="s">
        <v>99</v>
      </c>
      <c r="B10" s="18">
        <v>3862600000</v>
      </c>
      <c r="C10" s="18">
        <v>3894700000</v>
      </c>
      <c r="D10" s="18">
        <v>3935700000</v>
      </c>
      <c r="E10" s="18">
        <v>3980900000</v>
      </c>
      <c r="F10" s="6" t="s">
        <v>100</v>
      </c>
    </row>
    <row r="11" spans="1:6" x14ac:dyDescent="0.25">
      <c r="A11" t="s">
        <v>101</v>
      </c>
      <c r="B11" s="18">
        <v>1080900000</v>
      </c>
      <c r="C11" s="18">
        <v>1089000000</v>
      </c>
      <c r="D11" s="18">
        <v>498800000</v>
      </c>
      <c r="E11" s="18">
        <v>774000000</v>
      </c>
      <c r="F11" s="6" t="s">
        <v>102</v>
      </c>
    </row>
    <row r="12" spans="1:6" x14ac:dyDescent="0.25">
      <c r="A12" t="s">
        <v>34</v>
      </c>
      <c r="B12" s="34">
        <v>140621000</v>
      </c>
      <c r="C12" s="34">
        <v>145287000</v>
      </c>
      <c r="D12" s="34">
        <v>151452000</v>
      </c>
      <c r="E12" s="34">
        <v>161457000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