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<sst xmlns="http://schemas.openxmlformats.org/spreadsheetml/2006/main" count="116" uniqueCount="103">
  <si>
    <t>Generation Development Group Limited (GDG.AX)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</si>
  <si>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</si>
  <si>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</si>
  <si>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</si>
  <si>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</si>
  <si>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</si>
  <si>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</si>
  <si>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</si>
  <si>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</si>
  <si>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</si>
  <si>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</si>
  <si>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</si>
  <si>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</si>
  <si>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</si>
  <si>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</si>
  <si>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</si>
  <si>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</si>
  <si>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</si>
  <si>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</si>
  <si>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</si>
  <si>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</si>
  <si>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</si>
  <si>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</si>
  <si>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</si>
  <si>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</si>
  <si>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</si>
  <si>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</si>
  <si>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</si>
  <si>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</si>
  <si>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</si>
  <si>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</si>
  <si>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</si>
  <si>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</si>
  <si>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</si>
  <si>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</si>
  <si>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</si>
  <si>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</si>
  <si>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</si>
  <si>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</si>
  <si>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</si>
  <si>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</si>
  <si>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</si>
  <si>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</si>
  <si>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</si>
  <si>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</si>
  <si>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</si>
  <si>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</si>
  <si>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</si>
  <si>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</si>
  <si>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</si>
  <si>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</si>
  <si>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</si>
  <si>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</si>
  <si>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</si>
  <si>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</si>
  <si>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</si>
  <si>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</si>
  <si>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</si>
  <si>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</si>
  <si>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</si>
  <si>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</si>
  <si>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</si>
  <si>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</si>
  <si>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</si>
  <si>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</si>
  <si>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</si>
  <si>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</si>
  <si>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</si>
  <si>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</si>
  <si>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</si>
  <si>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</si>
  <si>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</si>
  <si>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</si>
  <si>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</si>
  <si>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</si>
  <si>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</si>
  <si>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</si>
  <si>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</si>
  <si>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</si>
  <si>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</si>
  <si>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</si>
  <si>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</si>
  <si>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</si>
  <si>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</si>
  <si>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</si>
  <si>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derived</t>
  </si>
  <si>
    <t>Depreciation &amp; amortisation</t>
  </si>
  <si>
    <t>reconciledDepreciation</t>
  </si>
  <si>
    <t>Capital expenditure</t>
  </si>
  <si>
    <t>capitalExpenditure</t>
  </si>
  <si>
    <t>Change in working 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</si>
  <si>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</si>
  <si>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</si>
  <si>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</si>
  <si>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</si>
  <si>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</si>
  <si>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</si>
  <si>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</si>
  <si>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Wrong tool: This model values the shares at 15.9x the market price. A gap that size is a modelling failure rather than a view - most often an unusable beta, a currency or units mismatch, or a cashflow base that does not represent the business. Read the figures below as diagnostics, not as a call.</t>
  </si>
  <si>
    <t>Adjusted: Some line items were not reported and have been derived. Each one is labelled in the workings below.</t>
  </si>
  <si>
    <t>Adjusted: Reported capital expenditure averages just 0.52% of revenue, which is too low to be the company's real investment - property trusts and similar structures invest through lines that are not reported as capex. Capex has been set to 1.98%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</si>
  <si>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Current EV/EBITDA of 2.5x sits outside a defensible 3-20x band, so the exit multiple is capped at 3.0x. A multiple that far out usually means EBITDA is the wrong denominator for this business.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</si>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</sst>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0.3542355416053442</v>
      </c>
    </row>
    <row r="7" spans="1:2" x14ac:dyDescent="0.25">
      <c r="A7" t="s">
        <v>5</v>
      </c>
      <c r="B7" s="6">
        <v>0.7680509779696607</v>
      </c>
    </row>
    <row r="8" spans="1:2" x14ac:dyDescent="0.25">
      <c r="A8" t="s">
        <v>6</v>
      </c>
      <c r="B8" s="6">
        <v>0.24578557267437884</v>
      </c>
    </row>
    <row r="9" spans="1:2" x14ac:dyDescent="0.25">
      <c r="A9" t="s">
        <v>7</v>
      </c>
      <c r="B9" s="6">
        <v>0.019769617103177404</v>
      </c>
    </row>
    <row r="10" spans="1:2" x14ac:dyDescent="0.25">
      <c r="A10" t="s">
        <v>8</v>
      </c>
      <c r="B10" s="6">
        <v>0.019769617103177404</v>
      </c>
    </row>
    <row r="11" spans="1:2" x14ac:dyDescent="0.25">
      <c r="A11" t="s">
        <v>9</v>
      </c>
      <c r="B11" s="6">
        <v>0.02326000353505826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3</v>
      </c>
    </row>
    <row r="14" spans="1:3" x14ac:dyDescent="0.25">
      <c r="A14" t="s">
        <v>12</v>
      </c>
      <c r="B14" s="6">
        <v>0.6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0.64691</v>
      </c>
      <c r="C19" s="8" t="s">
        <v>19</v>
      </c>
    </row>
    <row r="20" spans="1:2" x14ac:dyDescent="0.25">
      <c r="A20" t="s">
        <v>20</v>
      </c>
      <c r="B20" s="10">
        <f>B17+B19*B18</f>
        <v>0.0922946</v>
      </c>
    </row>
    <row r="21" spans="1:3" x14ac:dyDescent="0.25">
      <c r="A21" t="s">
        <v>21</v>
      </c>
      <c r="B21" s="6">
        <v>0.09615525986914651</v>
      </c>
      <c r="C21" s="8" t="s">
        <v>22</v>
      </c>
    </row>
    <row r="22" spans="1:2" x14ac:dyDescent="0.25">
      <c r="A22" t="s">
        <v>23</v>
      </c>
      <c r="B22" s="11">
        <v>1195757824</v>
      </c>
    </row>
    <row r="23" spans="1:2" x14ac:dyDescent="0.25">
      <c r="A23" t="s">
        <v>24</v>
      </c>
      <c r="B23" s="11">
        <v>47379000</v>
      </c>
    </row>
    <row r="24" spans="1:2" x14ac:dyDescent="0.25">
      <c r="A24" t="s">
        <v>25</v>
      </c>
      <c r="B24" s="10">
        <f>B22/(B22+B23)</f>
        <v>0.9618875419943316</v>
      </c>
    </row>
    <row r="25" spans="1:2" x14ac:dyDescent="0.25">
      <c r="A25" t="s">
        <v>26</v>
      </c>
      <c r="B25" s="10">
        <f>1-B24</f>
        <v>0.038112458005668426</v>
      </c>
    </row>
    <row r="26" spans="1:2" x14ac:dyDescent="0.25">
      <c r="A26" t="s">
        <v>27</v>
      </c>
      <c r="B26" s="12">
        <f>B24*B20+B25*B21*(1-B8)</f>
        <v>0.09154100557907832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589526000</v>
      </c>
      <c r="C29" s="8" t="s">
        <v>30</v>
      </c>
    </row>
    <row r="30" spans="1:2" x14ac:dyDescent="0.25">
      <c r="A30" t="s">
        <v>31</v>
      </c>
      <c r="B30" s="11">
        <v>-145384000</v>
      </c>
    </row>
    <row r="31" spans="1:2" x14ac:dyDescent="0.25">
      <c r="A31" t="s">
        <v>32</v>
      </c>
      <c r="B31" s="13">
        <v>404177215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0.3542355416053442</v>
      </c>
      <c r="C5" s="10">
        <f>Assumptions!B6</f>
        <v>0.3542355416053442</v>
      </c>
      <c r="D5" s="10">
        <f>Assumptions!B6</f>
        <v>0.3542355416053442</v>
      </c>
      <c r="E5" s="10">
        <f>Assumptions!B6</f>
        <v>0.3542355416053442</v>
      </c>
      <c r="F5" s="10">
        <f>Assumptions!B6</f>
        <v>0.3542355416053442</v>
      </c>
    </row>
    <row r="6" spans="1:6" x14ac:dyDescent="0.25">
      <c r="A6" t="s">
        <v>43</v>
      </c>
      <c r="B6" s="18">
        <f>Assumptions!B29*(1+B5)</f>
        <v>798357061.9004321</v>
      </c>
      <c r="C6" s="18">
        <f>B6*(1+C5)</f>
        <v>1081163508.117183</v>
      </c>
      <c r="D6" s="18">
        <f>C6*(1+D5)</f>
        <v>1464150048.9790072</v>
      </c>
      <c r="E6" s="18">
        <f>D6*(1+E5)</f>
        <v>1982804034.5705771</v>
      </c>
      <c r="F6" s="18">
        <f>E6*(1+F5)</f>
        <v>2685183695.6539474</v>
      </c>
    </row>
    <row r="7" spans="1:6" x14ac:dyDescent="0.25">
      <c r="A7" t="s">
        <v>5</v>
      </c>
      <c r="B7" s="10">
        <f>Assumptions!B7</f>
        <v>0.7680509779696607</v>
      </c>
      <c r="C7" s="10">
        <f>Assumptions!B7</f>
        <v>0.7680509779696607</v>
      </c>
      <c r="D7" s="10">
        <f>Assumptions!B7</f>
        <v>0.7680509779696607</v>
      </c>
      <c r="E7" s="10">
        <f>Assumptions!B7</f>
        <v>0.7680509779696607</v>
      </c>
      <c r="F7" s="10">
        <f>Assumptions!B7</f>
        <v>0.7680509779696607</v>
      </c>
    </row>
    <row r="8" spans="1:6" x14ac:dyDescent="0.25">
      <c r="A8" t="s">
        <v>44</v>
      </c>
      <c r="B8" s="18">
        <f>B6*B7</f>
        <v>613178922.1616118</v>
      </c>
      <c r="C8" s="18">
        <f>C6*C7</f>
        <v>830388689.7545116</v>
      </c>
      <c r="D8" s="18">
        <f>D6*D7</f>
        <v>1124541877.012653</v>
      </c>
      <c r="E8" s="18">
        <f>E6*E7</f>
        <v>1522894577.8741207</v>
      </c>
      <c r="F8" s="18">
        <f>F6*F7</f>
        <v>2062357963.475202</v>
      </c>
    </row>
    <row r="9" spans="1:6" x14ac:dyDescent="0.25">
      <c r="A9" t="s">
        <v>45</v>
      </c>
      <c r="B9" s="18">
        <f>B8*(1-Assumptions!B8)</f>
        <v>462468389.62626165</v>
      </c>
      <c r="C9" s="18">
        <f>C8*(1-Assumptions!B8)</f>
        <v>626291130.1008719</v>
      </c>
      <c r="D9" s="18">
        <f>D8*(1-Assumptions!B8)</f>
        <v>848145707.7747773</v>
      </c>
      <c r="E9" s="18">
        <f>E8*(1-Assumptions!B8)</f>
        <v>1148589061.9286234</v>
      </c>
      <c r="F9" s="18">
        <f>F8*(1-Assumptions!B8)</f>
        <v>1555460130.3628838</v>
      </c>
    </row>
    <row r="10" spans="1:6" x14ac:dyDescent="0.25">
      <c r="A10" t="s">
        <v>46</v>
      </c>
      <c r="B10" s="18">
        <f>B6*Assumptions!B9</f>
        <v>15783213.425389243</v>
      </c>
      <c r="C10" s="18">
        <f>C6*Assumptions!B9</f>
        <v>21374188.58140474</v>
      </c>
      <c r="D10" s="18">
        <f>D6*Assumptions!B9</f>
        <v>28945685.849913415</v>
      </c>
      <c r="E10" s="18">
        <f>E6*Assumptions!B9</f>
        <v>39199276.55409564</v>
      </c>
      <c r="F10" s="18">
        <f>F6*Assumptions!B9</f>
        <v>53085053.514773384</v>
      </c>
    </row>
    <row r="11" spans="1:6" x14ac:dyDescent="0.25">
      <c r="A11" t="s">
        <v>47</v>
      </c>
      <c r="B11" s="18">
        <f>-B6*Assumptions!B10</f>
        <v>-15783213.425389243</v>
      </c>
      <c r="C11" s="18">
        <f>-C6*Assumptions!B10</f>
        <v>-21374188.58140474</v>
      </c>
      <c r="D11" s="18">
        <f>-D6*Assumptions!B10</f>
        <v>-28945685.849913415</v>
      </c>
      <c r="E11" s="18">
        <f>-E6*Assumptions!B10</f>
        <v>-39199276.55409564</v>
      </c>
      <c r="F11" s="18">
        <f>-F6*Assumptions!B10</f>
        <v>-53085053.514773384</v>
      </c>
    </row>
    <row r="12" spans="1:6" x14ac:dyDescent="0.25">
      <c r="A12" t="s">
        <v>48</v>
      </c>
      <c r="B12" s="18">
        <f>-(B6-Assumptions!B29)*Assumptions!B11</f>
        <v>-4857411.238034021</v>
      </c>
      <c r="C12" s="18">
        <f>-(C6-B6)*Assumptions!B11</f>
        <v>-6578078.938738888</v>
      </c>
      <c r="D12" s="18">
        <f>-(D6-C6)*Assumptions!B11</f>
        <v>-8908268.294325767</v>
      </c>
      <c r="E12" s="18">
        <f>-(E6-D6)*Assumptions!B11</f>
        <v>-12063893.53833197</v>
      </c>
      <c r="F12" s="18">
        <f>-(F6-E6)*Assumptions!B11</f>
        <v>-16337353.399752213</v>
      </c>
    </row>
    <row r="13" spans="1:6" x14ac:dyDescent="0.25">
      <c r="A13" s="19" t="s">
        <v>49</v>
      </c>
      <c r="B13" s="20">
        <f>B9+B10+B11+B12</f>
        <v>457610978.38822764</v>
      </c>
      <c r="C13" s="20">
        <f>C9+C10+C11+C12</f>
        <v>619713051.162133</v>
      </c>
      <c r="D13" s="20">
        <f>D9+D10+D11+D12</f>
        <v>839237439.4804516</v>
      </c>
      <c r="E13" s="20">
        <f>E9+E10+E11+E12</f>
        <v>1136525168.3902915</v>
      </c>
      <c r="F13" s="20">
        <f>F9+F10+F11+F12</f>
        <v>1539122776.9631317</v>
      </c>
    </row>
    <row r="14" spans="1:6" x14ac:dyDescent="0.25">
      <c r="A14" t="s">
        <v>50</v>
      </c>
      <c r="B14" s="21">
        <f>1/(1+Assumptions!$B$26)^(1-0.5*Assumptions!$B$32)</f>
        <v>0.9571499308933143</v>
      </c>
      <c r="C14" s="21">
        <f>1/(1+Assumptions!$B$26)^(2-0.5*Assumptions!$B$32)</f>
        <v>0.8768794997174956</v>
      </c>
      <c r="D14" s="21">
        <f>1/(1+Assumptions!$B$26)^(3-0.5*Assumptions!$B$32)</f>
        <v>0.8033408687677274</v>
      </c>
      <c r="E14" s="21">
        <f>1/(1+Assumptions!$B$26)^(4-0.5*Assumptions!$B$32)</f>
        <v>0.7359694822839417</v>
      </c>
      <c r="F14" s="21">
        <f>1/(1+Assumptions!$B$26)^(5-0.5*Assumptions!$B$32)</f>
        <v>0.6742481304158602</v>
      </c>
    </row>
    <row r="15" spans="1:6" x14ac:dyDescent="0.25">
      <c r="A15" s="19" t="s">
        <v>51</v>
      </c>
      <c r="B15" s="20">
        <f>B13*B14</f>
        <v>438002316.34031403</v>
      </c>
      <c r="C15" s="20">
        <f>C13*C14</f>
        <v>543413670.2714539</v>
      </c>
      <c r="D15" s="20">
        <f>D13*D14</f>
        <v>674193733.734629</v>
      </c>
      <c r="E15" s="20">
        <f>E13*E14</f>
        <v>836447839.7828724</v>
      </c>
      <c r="F15" s="20">
        <f>F13*F14</f>
        <v>1037750654.8478584</v>
      </c>
    </row>
    <row r="17" spans="1:2" x14ac:dyDescent="0.25">
      <c r="A17" s="22" t="s">
        <v>52</v>
      </c>
      <c r="B17" s="23">
        <f>SUM(B15:F15)</f>
        <v>3529808214.977128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1539122776.9631317</v>
      </c>
    </row>
    <row r="5" spans="1:2" x14ac:dyDescent="0.25">
      <c r="A5" t="s">
        <v>56</v>
      </c>
      <c r="B5" s="18">
        <f>IF(Assumptions!$B$33=0,B4,B4-Forecast!F11-Forecast!F10-Forecast!F12)</f>
        <v>1555460130.3628838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0.04166666666666667</v>
      </c>
    </row>
    <row r="7" spans="1:2" x14ac:dyDescent="0.25">
      <c r="A7" t="s">
        <v>58</v>
      </c>
      <c r="B7" s="18">
        <f>-MAX(Forecast!F9,0)*B6</f>
        <v>-64810838.76512016</v>
      </c>
    </row>
    <row r="8" spans="1:2" x14ac:dyDescent="0.25">
      <c r="A8" t="s">
        <v>59</v>
      </c>
      <c r="B8" s="18">
        <f>IF(OR(Assumptions!$B$33=0,Assumptions!B12&lt;=0),B5,MAX(B5+B7,0))</f>
        <v>1490649291.5977635</v>
      </c>
    </row>
    <row r="9" spans="1:2" x14ac:dyDescent="0.25">
      <c r="A9" t="s">
        <v>60</v>
      </c>
      <c r="B9" s="18">
        <f>B8*(1+Assumptions!B12)/(Assumptions!B26-Assumptions!B12)</f>
        <v>22962014333.73155</v>
      </c>
    </row>
    <row r="10" spans="1:2" x14ac:dyDescent="0.25">
      <c r="A10" t="s">
        <v>61</v>
      </c>
      <c r="B10" s="18">
        <f>B9/(1+Assumptions!B26)^(5-0.5*Assumptions!B32)</f>
        <v>15482095235.10068</v>
      </c>
    </row>
    <row r="11" spans="1:2" x14ac:dyDescent="0.25">
      <c r="A11" t="s">
        <v>62</v>
      </c>
      <c r="B11" s="18">
        <f>Forecast!B17+B10</f>
        <v>19011903450.07781</v>
      </c>
    </row>
    <row r="12" spans="1:2" x14ac:dyDescent="0.25">
      <c r="A12" t="s">
        <v>63</v>
      </c>
      <c r="B12" s="18">
        <f>-Assumptions!B30</f>
        <v>145384000</v>
      </c>
    </row>
    <row r="13" spans="1:2" x14ac:dyDescent="0.25">
      <c r="A13" t="s">
        <v>64</v>
      </c>
      <c r="B13" s="18">
        <f>B11+B12</f>
        <v>19157287450.07781</v>
      </c>
    </row>
    <row r="14" spans="1:2" x14ac:dyDescent="0.25">
      <c r="A14" s="19" t="s">
        <v>65</v>
      </c>
      <c r="B14" s="24">
        <f>B13/Assumptions!B31</f>
        <v>47.398237058162245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2115443016.9899755</v>
      </c>
    </row>
    <row r="18" spans="1:2" x14ac:dyDescent="0.25">
      <c r="A18" t="s">
        <v>60</v>
      </c>
      <c r="B18" s="18">
        <f>B17*Assumptions!B13</f>
        <v>6346329050.969927</v>
      </c>
    </row>
    <row r="19" spans="1:2" x14ac:dyDescent="0.25">
      <c r="A19" t="s">
        <v>61</v>
      </c>
      <c r="B19" s="18">
        <f>B18/(1+Assumptions!B26)^(5-0.5*Assumptions!B32)</f>
        <v>4279000497.620333</v>
      </c>
    </row>
    <row r="20" spans="1:2" x14ac:dyDescent="0.25">
      <c r="A20" t="s">
        <v>62</v>
      </c>
      <c r="B20" s="18">
        <f>Forecast!B17+B19</f>
        <v>7808808712.597462</v>
      </c>
    </row>
    <row r="21" spans="1:2" x14ac:dyDescent="0.25">
      <c r="A21" t="s">
        <v>63</v>
      </c>
      <c r="B21" s="18">
        <f>-Assumptions!B30</f>
        <v>145384000</v>
      </c>
    </row>
    <row r="22" spans="1:2" x14ac:dyDescent="0.25">
      <c r="A22" t="s">
        <v>64</v>
      </c>
      <c r="B22" s="18">
        <f>B20+B21</f>
        <v>7954192712.597462</v>
      </c>
    </row>
    <row r="23" spans="1:2" x14ac:dyDescent="0.25">
      <c r="A23" s="19" t="s">
        <v>65</v>
      </c>
      <c r="B23" s="25">
        <f>B22/Assumptions!B31</f>
        <v>19.679963187923548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2.98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47.398237058162245</v>
      </c>
    </row>
    <row r="29" spans="1:2" x14ac:dyDescent="0.25">
      <c r="A29" s="19" t="s">
        <v>73</v>
      </c>
      <c r="B29" s="12">
        <f>B28/B26-1</f>
        <v>14.905448677235652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0.071541</v>
      </c>
      <c r="B5" s="31">
        <v>58.93868884080535</v>
      </c>
      <c r="C5" s="31">
        <v>63.52854729153467</v>
      </c>
      <c r="D5" s="31">
        <v>69.09955323337606</v>
      </c>
      <c r="E5" s="31">
        <v>76.0059882764661</v>
      </c>
      <c r="F5" s="31">
        <v>84.7960431249105</v>
      </c>
    </row>
    <row r="6" spans="1:6" x14ac:dyDescent="0.25">
      <c r="A6" s="30">
        <v>0.081541</v>
      </c>
      <c r="B6" s="31">
        <v>49.554901557145946</v>
      </c>
      <c r="C6" s="31">
        <v>52.663581360265525</v>
      </c>
      <c r="D6" s="31">
        <v>56.31808489470414</v>
      </c>
      <c r="E6" s="31">
        <v>60.677263482123905</v>
      </c>
      <c r="F6" s="31">
        <v>65.96823140444218</v>
      </c>
    </row>
    <row r="7" spans="1:6" x14ac:dyDescent="0.25">
      <c r="A7" s="30">
        <v>0.091541</v>
      </c>
      <c r="B7" s="31">
        <v>42.64231266568648</v>
      </c>
      <c r="C7" s="31">
        <v>44.85559232913319</v>
      </c>
      <c r="D7" s="32">
        <v>47.398241281336254</v>
      </c>
      <c r="E7" s="31">
        <v>50.35053997486135</v>
      </c>
      <c r="F7" s="31">
        <v>53.821166114733686</v>
      </c>
    </row>
    <row r="8" spans="1:6" x14ac:dyDescent="0.25">
      <c r="A8" s="30">
        <v>0.101541</v>
      </c>
      <c r="B8" s="31">
        <v>37.34350505450065</v>
      </c>
      <c r="C8" s="31">
        <v>38.97911947448936</v>
      </c>
      <c r="D8" s="31">
        <v>40.82571367946197</v>
      </c>
      <c r="E8" s="31">
        <v>42.92752379660093</v>
      </c>
      <c r="F8" s="31">
        <v>45.34208185401664</v>
      </c>
    </row>
    <row r="9" spans="1:6" x14ac:dyDescent="0.25">
      <c r="A9" s="30">
        <v>0.111541</v>
      </c>
      <c r="B9" s="31">
        <v>33.15635324504853</v>
      </c>
      <c r="C9" s="31">
        <v>34.40052221789132</v>
      </c>
      <c r="D9" s="31">
        <v>35.786155006676054</v>
      </c>
      <c r="E9" s="31">
        <v>37.33927480512286</v>
      </c>
      <c r="F9" s="31">
        <v>39.092704611950424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589526000</v>
      </c>
      <c r="C5" s="18">
        <v>626224000</v>
      </c>
      <c r="D5" s="18">
        <v>332028000</v>
      </c>
      <c r="E5" s="18">
        <v>237367000</v>
      </c>
      <c r="F5" s="8" t="s">
        <v>84</v>
      </c>
    </row>
    <row r="6" spans="1:6" x14ac:dyDescent="0.25">
      <c r="A6" t="s">
        <v>44</v>
      </c>
      <c r="B6" s="18">
        <v>398099000</v>
      </c>
      <c r="C6" s="18">
        <v>439493000</v>
      </c>
      <c r="D6" s="18">
        <v>283822000</v>
      </c>
      <c r="E6" s="18">
        <v>199457000</v>
      </c>
      <c r="F6" s="8" t="s">
        <v>85</v>
      </c>
    </row>
    <row r="7" spans="1:6" x14ac:dyDescent="0.25">
      <c r="A7" t="s">
        <v>86</v>
      </c>
      <c r="B7" s="18">
        <v>24252000</v>
      </c>
      <c r="C7" s="18">
        <v>15781000</v>
      </c>
      <c r="D7" s="18">
        <v>1750000</v>
      </c>
      <c r="E7" s="18">
        <v>1773000</v>
      </c>
      <c r="F7" s="8" t="s">
        <v>87</v>
      </c>
    </row>
    <row r="8" spans="1:6" x14ac:dyDescent="0.25">
      <c r="A8" t="s">
        <v>88</v>
      </c>
      <c r="B8" s="18">
        <v>7022000</v>
      </c>
      <c r="C8" s="18">
        <v>4148000</v>
      </c>
      <c r="D8" s="18">
        <v>149000</v>
      </c>
      <c r="E8" s="18">
        <v>429000</v>
      </c>
      <c r="F8" s="8" t="s">
        <v>89</v>
      </c>
    </row>
    <row r="9" spans="1:6" x14ac:dyDescent="0.25">
      <c r="A9" t="s">
        <v>90</v>
      </c>
      <c r="B9" s="18">
        <v>-2684000</v>
      </c>
      <c r="C9" s="18">
        <v>6843000</v>
      </c>
      <c r="D9" s="18">
        <v>-6693000</v>
      </c>
      <c r="E9" s="18">
        <v>0</v>
      </c>
      <c r="F9" s="8" t="s">
        <v>85</v>
      </c>
    </row>
    <row r="10" spans="1:6" x14ac:dyDescent="0.25">
      <c r="A10" t="s">
        <v>91</v>
      </c>
      <c r="B10" s="18">
        <v>47379000</v>
      </c>
      <c r="C10" s="18">
        <v>7033000</v>
      </c>
      <c r="D10" s="18">
        <v>3465000</v>
      </c>
      <c r="E10" s="18">
        <v>3807000</v>
      </c>
      <c r="F10" s="8" t="s">
        <v>92</v>
      </c>
    </row>
    <row r="11" spans="1:6" x14ac:dyDescent="0.25">
      <c r="A11" t="s">
        <v>93</v>
      </c>
      <c r="B11" s="18">
        <v>192763000</v>
      </c>
      <c r="C11" s="18">
        <v>180213000</v>
      </c>
      <c r="D11" s="18">
        <v>259832000</v>
      </c>
      <c r="E11" s="18">
        <v>93660000</v>
      </c>
      <c r="F11" s="8" t="s">
        <v>94</v>
      </c>
    </row>
    <row r="12" spans="1:6" x14ac:dyDescent="0.25">
      <c r="A12" t="s">
        <v>32</v>
      </c>
      <c r="B12" s="34">
        <v>404177215</v>
      </c>
      <c r="C12" s="34">
        <v>328889264</v>
      </c>
      <c r="D12" s="34">
        <v>196825629</v>
      </c>
      <c r="E12" s="34">
        <v>196088583</v>
      </c>
      <c r="F12" s="8" t="s">
        <v>95</v>
      </c>
    </row>
    <row r="15" spans="1:1" x14ac:dyDescent="0.25">
      <c r="A15" s="19" t="s">
        <v>96</v>
      </c>
    </row>
    <row r="16" ht="54" customHeight="1" spans="1:6" x14ac:dyDescent="0.25">
      <c r="A16" s="35" t="s">
        <v>97</v>
      </c>
      <c r="B16" s="35"/>
      <c r="C16" s="35"/>
      <c r="D16" s="35"/>
      <c r="E16" s="35"/>
      <c r="F16" s="35"/>
    </row>
    <row r="17" ht="54" customHeight="1" spans="1:6" x14ac:dyDescent="0.25">
      <c r="A17" s="35" t="s">
        <v>98</v>
      </c>
      <c r="B17" s="35"/>
      <c r="C17" s="35"/>
      <c r="D17" s="35"/>
      <c r="E17" s="35"/>
      <c r="F17" s="35"/>
    </row>
    <row r="18" ht="22" customHeight="1" spans="1:6" x14ac:dyDescent="0.25">
      <c r="A18" s="35" t="s">
        <v>99</v>
      </c>
      <c r="B18" s="35"/>
      <c r="C18" s="35"/>
      <c r="D18" s="35"/>
      <c r="E18" s="35"/>
      <c r="F18" s="35"/>
    </row>
    <row r="19" ht="86" customHeight="1" spans="1:6" x14ac:dyDescent="0.25">
      <c r="A19" s="35" t="s">
        <v>100</v>
      </c>
      <c r="B19" s="35"/>
      <c r="C19" s="35"/>
      <c r="D19" s="35"/>
      <c r="E19" s="35"/>
      <c r="F19" s="35"/>
    </row>
    <row r="20" ht="38" customHeight="1" spans="1:6" x14ac:dyDescent="0.25">
      <c r="A20" s="35" t="s">
        <v>101</v>
      </c>
      <c r="B20" s="35"/>
      <c r="C20" s="35"/>
      <c r="D20" s="35"/>
      <c r="E20" s="35"/>
      <c r="F20" s="35"/>
    </row>
    <row r="22" spans="1:1" x14ac:dyDescent="0.25">
      <c r="A22" s="36" t="s">
        <v>102</v>
      </c>
    </row>
  </sheetData>
  <mergeCells count="5">
    <mergeCell ref="A16:F16"/>
    <mergeCell ref="A17:F17"/>
    <mergeCell ref="A18:F18"/>
    <mergeCell ref="A19:F19"/>
    <mergeCell ref="A20:F20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2026-09-19T00:06:22Z</dcterms:modified>
</cp:coreProperties>
</file>