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<sst xmlns="http://schemas.openxmlformats.org/spreadsheetml/2006/main" count="120" uniqueCount="107">
  <si>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GE Aerospace (GE)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</si>
  <si>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</si>
  <si>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</si>
  <si>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</si>
  <si>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</si>
  <si>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</si>
  <si>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</si>
  <si>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</si>
  <si>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</si>
  <si>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</si>
  <si>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</si>
  <si>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</si>
  <si>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</si>
  <si>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</si>
  <si>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</si>
  <si>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</si>
  <si>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</si>
  <si>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</si>
  <si>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</si>
  <si>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</si>
  <si>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</si>
  <si>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</si>
  <si>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</si>
  <si>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</si>
  <si>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10.3x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</si>
  <si>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</si>
  <si>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</si>
  <si>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</si>
  <si>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</si>
  <si>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</si>
  <si>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</si>
  <si>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</si>
  <si>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</si>
  <si>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</si>
  <si>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</si>
  <si>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</si>
  <si>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</si>
  <si>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</si>
  <si>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</si>
  <si>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</si>
  <si>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</si>
  <si>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</si>
  <si>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</si>
  <si>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</si>
  <si>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</si>
  <si>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</si>
  <si>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</si>
  <si>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</si>
  <si>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</si>
  <si>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</si>
  <si>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</si>
  <si>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</si>
  <si>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</si>
  <si>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</si>
  <si>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</si>
  <si>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</si>
  <si>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</si>
  <si>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</si>
  <si>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</si>
  <si>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</si>
  <si>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</si>
  <si>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</si>
  <si>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</si>
  <si>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</si>
  <si>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</si>
  <si>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</si>
  <si>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</si>
  <si>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</si>
  <si>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</si>
  <si>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</si>
  <si>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</si>
  <si>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</si>
  <si>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</si>
  <si>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</si>
  <si>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</si>
  <si>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</si>
  <si>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</si>
  <si>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</si>
  <si>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</si>
  <si>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</si>
  <si>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</si>
  <si>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</si>
  <si>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</si>
  <si>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</si>
  <si>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</si>
  <si>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</si>
  <si>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</si>
  <si>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</si>
  <si>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</si>
  <si>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</si>
  <si>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</si>
  <si>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</si>
  <si>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</si>
  <si>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</si>
  <si>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</si>
  <si>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</si>
  <si>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</si>
  <si>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</si>
  <si>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</si>
  <si>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</si>
  <si>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</si>
  <si>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</si>
  <si>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</si>
  <si>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</si>
  <si>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</si>
  <si>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32.4x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</si>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</sst>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0.10959919354486969</v>
      </c>
    </row>
    <row r="7" spans="1:2" x14ac:dyDescent="0.25">
      <c r="A7" t="s">
        <v>4</v>
      </c>
      <c r="B7" s="5">
        <v>0.15520981176098658</v>
      </c>
    </row>
    <row r="8" spans="1:2" x14ac:dyDescent="0.25">
      <c r="A8" t="s">
        <v>5</v>
      </c>
      <c r="B8" s="5">
        <v>0.11864241345653082</v>
      </c>
    </row>
    <row r="9" spans="1:2" x14ac:dyDescent="0.25">
      <c r="A9" t="s">
        <v>6</v>
      </c>
      <c r="B9" s="5">
        <v>0.03279631178560334</v>
      </c>
    </row>
    <row r="10" spans="1:3" x14ac:dyDescent="0.25">
      <c r="A10" t="s">
        <v>7</v>
      </c>
      <c r="B10" s="5">
        <v>0.025382876882662164</v>
      </c>
      <c r="C10" s="6" t="s">
        <v>8</v>
      </c>
    </row>
    <row r="11" spans="1:2" x14ac:dyDescent="0.25">
      <c r="A11" t="s">
        <v>9</v>
      </c>
      <c r="B11" s="5">
        <v>0.3305159894131011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0.12052823334838034</v>
      </c>
      <c r="C14" s="6" t="s">
        <v>13</v>
      </c>
    </row>
    <row r="15" spans="1:3" x14ac:dyDescent="0.25">
      <c r="A15" t="s">
        <v>14</v>
      </c>
      <c r="B15" s="5">
        <v>0.022987491742679476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1.2505800000000002</v>
      </c>
      <c r="C19" s="6" t="s">
        <v>21</v>
      </c>
    </row>
    <row r="20" spans="1:2" x14ac:dyDescent="0.25">
      <c r="A20" t="s">
        <v>22</v>
      </c>
      <c r="B20" s="9">
        <f>B17+B19*B18</f>
        <v>0.10183953400000001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313136349184</v>
      </c>
    </row>
    <row r="23" spans="1:2" x14ac:dyDescent="0.25">
      <c r="A23" t="s">
        <v>26</v>
      </c>
      <c r="B23" s="10">
        <v>20495000000</v>
      </c>
    </row>
    <row r="24" spans="1:2" x14ac:dyDescent="0.25">
      <c r="A24" t="s">
        <v>27</v>
      </c>
      <c r="B24" s="9">
        <f>B22/(B22+B23)</f>
        <v>0.9385699214113813</v>
      </c>
    </row>
    <row r="25" spans="1:2" x14ac:dyDescent="0.25">
      <c r="A25" t="s">
        <v>28</v>
      </c>
      <c r="B25" s="9">
        <f>1-B24</f>
        <v>0.06143007858861871</v>
      </c>
    </row>
    <row r="26" spans="1:2" x14ac:dyDescent="0.25">
      <c r="A26" t="s">
        <v>29</v>
      </c>
      <c r="B26" s="11">
        <f>B24*B20+B25*B21*(1-B8)</f>
        <v>0.0984497937987235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45855000000</v>
      </c>
      <c r="C29" s="6" t="s">
        <v>32</v>
      </c>
    </row>
    <row r="30" spans="1:2" x14ac:dyDescent="0.25">
      <c r="A30" t="s">
        <v>33</v>
      </c>
      <c r="B30" s="10">
        <v>8103000000</v>
      </c>
    </row>
    <row r="31" spans="1:2" x14ac:dyDescent="0.25">
      <c r="A31" t="s">
        <v>34</v>
      </c>
      <c r="B31" s="12">
        <v>1068000000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0.10959919354486969</v>
      </c>
      <c r="C5" s="5">
        <v>0.11690626205896293</v>
      </c>
      <c r="D5" s="5">
        <v>0.10541797930159257</v>
      </c>
      <c r="E5" s="5">
        <v>0.0939296965442222</v>
      </c>
      <c r="F5" s="5">
        <v>0.08244141378685182</v>
      </c>
      <c r="G5" s="5">
        <v>0.07095313102948146</v>
      </c>
      <c r="H5" s="5">
        <v>0.0594648482721111</v>
      </c>
      <c r="I5" s="5">
        <v>0.04797656551474072</v>
      </c>
      <c r="J5" s="5">
        <v>0.03648828275737036</v>
      </c>
      <c r="K5" s="5">
        <v>0.024999999999999994</v>
      </c>
    </row>
    <row r="6" spans="1:11" x14ac:dyDescent="0.25">
      <c r="A6" t="s">
        <v>50</v>
      </c>
      <c r="B6" s="18">
        <f>Assumptions!B29*(1+B5)</f>
        <v>50880671020</v>
      </c>
      <c r="C6" s="18">
        <f>B6*(1+C5)</f>
        <v>56828940080</v>
      </c>
      <c r="D6" s="18">
        <f>C6*(1+D5)</f>
        <v>62819732109.084885</v>
      </c>
      <c r="E6" s="18">
        <f>D6*(1+E5)</f>
        <v>68720370483.08057</v>
      </c>
      <c r="F6" s="18">
        <f>E6*(1+F5)</f>
        <v>74385774981.66197</v>
      </c>
      <c r="G6" s="18">
        <f>F6*(1+G5)</f>
        <v>79663678620.66536</v>
      </c>
      <c r="H6" s="18">
        <f>G6*(1+H5)</f>
        <v>84400867182.64145</v>
      </c>
      <c r="I6" s="18">
        <f>H6*(1+I5)</f>
        <v>88450130916.53036</v>
      </c>
      <c r="J6" s="18">
        <f>I6*(1+J5)</f>
        <v>91677524303.33914</v>
      </c>
      <c r="K6" s="18">
        <f>J6*(1+K5)</f>
        <v>93969462410.9226</v>
      </c>
    </row>
    <row r="7" spans="1:11" x14ac:dyDescent="0.25">
      <c r="A7" t="s">
        <v>4</v>
      </c>
      <c r="B7" s="9">
        <f>Assumptions!B7</f>
        <v>0.15520981176098658</v>
      </c>
      <c r="C7" s="9">
        <f>Assumptions!B7</f>
        <v>0.15520981176098658</v>
      </c>
      <c r="D7" s="9">
        <f>Assumptions!B7</f>
        <v>0.15520981176098658</v>
      </c>
      <c r="E7" s="9">
        <f>Assumptions!B7</f>
        <v>0.15520981176098658</v>
      </c>
      <c r="F7" s="9">
        <f>Assumptions!B7</f>
        <v>0.15520981176098658</v>
      </c>
      <c r="G7" s="9">
        <f>Assumptions!B7</f>
        <v>0.15520981176098658</v>
      </c>
      <c r="H7" s="9">
        <f>Assumptions!B7</f>
        <v>0.15520981176098658</v>
      </c>
      <c r="I7" s="9">
        <f>Assumptions!B7</f>
        <v>0.15520981176098658</v>
      </c>
      <c r="J7" s="9">
        <f>Assumptions!B7</f>
        <v>0.15520981176098658</v>
      </c>
      <c r="K7" s="9">
        <f>Assumptions!B7</f>
        <v>0.15520981176098658</v>
      </c>
    </row>
    <row r="8" spans="1:11" x14ac:dyDescent="0.25">
      <c r="A8" t="s">
        <v>51</v>
      </c>
      <c r="B8" s="18">
        <f>B6*B7</f>
        <v>7897179371.286885</v>
      </c>
      <c r="C8" s="18">
        <f>C6*C7</f>
        <v>8820409092.393187</v>
      </c>
      <c r="D8" s="18">
        <f>D6*D7</f>
        <v>9750238795.52667</v>
      </c>
      <c r="E8" s="18">
        <f>E6*E7</f>
        <v>10666075766.824194</v>
      </c>
      <c r="F8" s="18">
        <f>F6*F7</f>
        <v>11545402132.59886</v>
      </c>
      <c r="G8" s="18">
        <f>G6*G7</f>
        <v>12364584562.901201</v>
      </c>
      <c r="H8" s="18">
        <f>H6*H7</f>
        <v>13099842707.88181</v>
      </c>
      <c r="I8" s="18">
        <f>I6*I7</f>
        <v>13728328169.789297</v>
      </c>
      <c r="J8" s="18">
        <f>J6*J7</f>
        <v>14229251289.834541</v>
      </c>
      <c r="K8" s="18">
        <f>K6*K7</f>
        <v>14584982572.080402</v>
      </c>
    </row>
    <row r="9" spans="1:11" x14ac:dyDescent="0.25">
      <c r="A9" t="s">
        <v>52</v>
      </c>
      <c r="B9" s="18">
        <f>B8*(1-Assumptions!B8)</f>
        <v>6960238951.178281</v>
      </c>
      <c r="C9" s="18">
        <f>C8*(1-Assumptions!B8)</f>
        <v>7773934469.99773</v>
      </c>
      <c r="D9" s="18">
        <f>D8*(1-Assumptions!B8)</f>
        <v>8593446933.047888</v>
      </c>
      <c r="E9" s="18">
        <f>E8*(1-Assumptions!B8)</f>
        <v>9400626795.737953</v>
      </c>
      <c r="F9" s="18">
        <f>F8*(1-Assumptions!B8)</f>
        <v>10175627759.261154</v>
      </c>
      <c r="G9" s="18">
        <f>G8*(1-Assumptions!B8)</f>
        <v>10897620408.97124</v>
      </c>
      <c r="H9" s="18">
        <f>H8*(1-Assumptions!B8)</f>
        <v>11545645753.117775</v>
      </c>
      <c r="I9" s="18">
        <f>I8*(1-Assumptions!B8)</f>
        <v>12099566183.002216</v>
      </c>
      <c r="J9" s="18">
        <f>J8*(1-Assumptions!B8)</f>
        <v>12541058575.129118</v>
      </c>
      <c r="K9" s="18">
        <f>K8*(1-Assumptions!B8)</f>
        <v>12854585039.507343</v>
      </c>
    </row>
    <row r="10" spans="1:11" x14ac:dyDescent="0.25">
      <c r="A10" t="s">
        <v>53</v>
      </c>
      <c r="B10" s="18">
        <f>B6*Assumptions!B9</f>
        <v>1668698350.6326323</v>
      </c>
      <c r="C10" s="18">
        <f>C6*Assumptions!B9</f>
        <v>1863779637.30905</v>
      </c>
      <c r="D10" s="18">
        <f>D6*Assumptions!B9</f>
        <v>2060255520.5376253</v>
      </c>
      <c r="E10" s="18">
        <f>E6*Assumptions!B9</f>
        <v>2253774696.385283</v>
      </c>
      <c r="F10" s="18">
        <f>F6*Assumptions!B9</f>
        <v>2439579068.712319</v>
      </c>
      <c r="G10" s="18">
        <f>G6*Assumptions!B9</f>
        <v>2612674842.031444</v>
      </c>
      <c r="H10" s="18">
        <f>H6*Assumptions!B9</f>
        <v>2768037155.097206</v>
      </c>
      <c r="I10" s="18">
        <f>I6*Assumptions!B9</f>
        <v>2900838071.015963</v>
      </c>
      <c r="J10" s="18">
        <f>J6*Assumptions!B9</f>
        <v>3006684670.7845383</v>
      </c>
      <c r="K10" s="18">
        <f>K6*Assumptions!B9</f>
        <v>3081851787.554151</v>
      </c>
    </row>
    <row r="11" spans="1:11" x14ac:dyDescent="0.25">
      <c r="A11" t="s">
        <v>54</v>
      </c>
      <c r="B11" s="18">
        <f>-B6*B19</f>
        <v>-1291497808.2078967</v>
      </c>
      <c r="C11" s="18">
        <f>-C6*C19</f>
        <v>-1617842890.4822063</v>
      </c>
      <c r="D11" s="18">
        <f>-D6*D19</f>
        <v>-1982239711.7218556</v>
      </c>
      <c r="E11" s="18">
        <f>-E6*E19</f>
        <v>-2380485977.8312116</v>
      </c>
      <c r="F11" s="18">
        <f>-F6*F19</f>
        <v>-2806273820.397545</v>
      </c>
      <c r="G11" s="18">
        <f>-G6*G19</f>
        <v>-3251211331.488941</v>
      </c>
      <c r="H11" s="18">
        <f>-H6*H19</f>
        <v>-3704985579.922417</v>
      </c>
      <c r="I11" s="18">
        <f>-I6*I19</f>
        <v>-4155674609.998584</v>
      </c>
      <c r="J11" s="18">
        <f>-J6*J19</f>
        <v>-4590203572.7753935</v>
      </c>
      <c r="K11" s="18">
        <f>-K6*K19</f>
        <v>-4994926582.968326</v>
      </c>
    </row>
    <row r="12" spans="1:11" x14ac:dyDescent="0.25">
      <c r="A12" t="s">
        <v>55</v>
      </c>
      <c r="B12" s="18">
        <f>-(B6-Assumptions!B29)*Assumptions!B11</f>
        <v>-1661064629.6400492</v>
      </c>
      <c r="C12" s="18">
        <f>-(C6-B6)*Assumptions!B11</f>
        <v>-1965998033.661237</v>
      </c>
      <c r="D12" s="18">
        <f>-(D6-C6)*Assumptions!B11</f>
        <v>-1980052554.8611102</v>
      </c>
      <c r="E12" s="18">
        <f>-(E6-D6)*Assumptions!B11</f>
        <v>-1950255330.350095</v>
      </c>
      <c r="F12" s="18">
        <f>-(F6-E6)*Assumptions!B11</f>
        <v>-1872506773.2740674</v>
      </c>
      <c r="G12" s="18">
        <f>-(G6-F6)*Assumptions!B11</f>
        <v>-1744431543.2722116</v>
      </c>
      <c r="H12" s="18">
        <f>-(H6-G6)*Assumptions!B11</f>
        <v>-1565716564.5979528</v>
      </c>
      <c r="I12" s="18">
        <f>-(I6-H6)*Assumptions!B11</f>
        <v>-1338346409.4008832</v>
      </c>
      <c r="J12" s="18">
        <f>-(J6-I6)*Assumptions!B11</f>
        <v>-1066705118.4664023</v>
      </c>
      <c r="K12" s="18">
        <f>-(K6-J6)*Assumptions!B11</f>
        <v>-757522191.3015398</v>
      </c>
    </row>
    <row r="13" spans="1:11" x14ac:dyDescent="0.25">
      <c r="A13" s="19" t="s">
        <v>56</v>
      </c>
      <c r="B13" s="20">
        <f>B9+B10+B11+B12</f>
        <v>5676374863.962967</v>
      </c>
      <c r="C13" s="20">
        <f>C9+C10+C11+C12</f>
        <v>6053873183.163337</v>
      </c>
      <c r="D13" s="20">
        <f>D9+D10+D11+D12</f>
        <v>6691410187.002548</v>
      </c>
      <c r="E13" s="20">
        <f>E9+E10+E11+E12</f>
        <v>7323660183.94193</v>
      </c>
      <c r="F13" s="20">
        <f>F9+F10+F11+F12</f>
        <v>7936426234.301861</v>
      </c>
      <c r="G13" s="20">
        <f>G9+G10+G11+G12</f>
        <v>8514652376.241531</v>
      </c>
      <c r="H13" s="20">
        <f>H9+H10+H11+H12</f>
        <v>9042980763.69461</v>
      </c>
      <c r="I13" s="20">
        <f>I9+I10+I11+I12</f>
        <v>9506383234.618713</v>
      </c>
      <c r="J13" s="20">
        <f>J9+J10+J11+J12</f>
        <v>9890834554.671862</v>
      </c>
      <c r="K13" s="20">
        <f>K9+K10+K11+K12</f>
        <v>10183988052.79163</v>
      </c>
    </row>
    <row r="14" spans="1:11" x14ac:dyDescent="0.25">
      <c r="A14" t="s">
        <v>57</v>
      </c>
      <c r="B14" s="21">
        <f>1/(1+Assumptions!$B$26)^(1-0.5*Assumptions!$B$32)</f>
        <v>0.9541351472945994</v>
      </c>
      <c r="C14" s="21">
        <f>1/(1+Assumptions!$B$26)^(2-0.5*Assumptions!$B$32)</f>
        <v>0.8686197154218158</v>
      </c>
      <c r="D14" s="21">
        <f>1/(1+Assumptions!$B$26)^(3-0.5*Assumptions!$B$32)</f>
        <v>0.7907686999675281</v>
      </c>
      <c r="E14" s="21">
        <f>1/(1+Assumptions!$B$26)^(4-0.5*Assumptions!$B$32)</f>
        <v>0.7198951690207391</v>
      </c>
      <c r="F14" s="21">
        <f>1/(1+Assumptions!$B$26)^(5-0.5*Assumptions!$B$32)</f>
        <v>0.6553737577128177</v>
      </c>
      <c r="G14" s="21">
        <f>1/(1+Assumptions!$B$26)^(6-0.5*Assumptions!$B$32)</f>
        <v>0.5966351502023282</v>
      </c>
      <c r="H14" s="21">
        <f>1/(1+Assumptions!$B$26)^(7-0.5*Assumptions!$B$32)</f>
        <v>0.543161056218154</v>
      </c>
      <c r="I14" s="21">
        <f>1/(1+Assumptions!$B$26)^(8-0.5*Assumptions!$B$32)</f>
        <v>0.4944796378355743</v>
      </c>
      <c r="J14" s="21">
        <f>1/(1+Assumptions!$B$26)^(9-0.5*Assumptions!$B$32)</f>
        <v>0.45016134613265835</v>
      </c>
      <c r="K14" s="21">
        <f>1/(1+Assumptions!$B$26)^(10-0.5*Assumptions!$B$32)</f>
        <v>0.40981513099099776</v>
      </c>
    </row>
    <row r="15" spans="1:11" x14ac:dyDescent="0.25">
      <c r="A15" s="19" t="s">
        <v>58</v>
      </c>
      <c r="B15" s="20">
        <f>B13*B14</f>
        <v>5416028766.926667</v>
      </c>
      <c r="C15" s="20">
        <f>C13*C14</f>
        <v>5258513601.5591</v>
      </c>
      <c r="D15" s="20">
        <f>D13*D14</f>
        <v>5291357734.525479</v>
      </c>
      <c r="E15" s="20">
        <f>E13*E14</f>
        <v>5272267585.969333</v>
      </c>
      <c r="F15" s="20">
        <f>F13*F14</f>
        <v>5201325483.984998</v>
      </c>
      <c r="G15" s="20">
        <f>G13*G14</f>
        <v>5080140899.4194765</v>
      </c>
      <c r="H15" s="20">
        <f>H13*H14</f>
        <v>4911794982.968814</v>
      </c>
      <c r="I15" s="20">
        <f>I13*I14</f>
        <v>4700712938.980436</v>
      </c>
      <c r="J15" s="20">
        <f>J13*J14</f>
        <v>4452471397.506497</v>
      </c>
      <c r="K15" s="20">
        <f>K13*K14</f>
        <v>4173552397.865558</v>
      </c>
    </row>
    <row r="17" spans="1:2" x14ac:dyDescent="0.25">
      <c r="A17" s="22" t="s">
        <v>59</v>
      </c>
      <c r="B17" s="23">
        <f>SUM(B15:K15)</f>
        <v>49758165789.70636</v>
      </c>
    </row>
    <row r="19" spans="1:11" x14ac:dyDescent="0.25">
      <c r="A19" t="s">
        <v>7</v>
      </c>
      <c r="B19" s="9">
        <f>Assumptions!$B$10+($B$20-Assumptions!$B$10)*0/9</f>
        <v>0.025382876882662164</v>
      </c>
      <c r="C19" s="9">
        <f>Assumptions!$B$10+($B$20-Assumptions!$B$10)*1/9</f>
        <v>0.028468644465385325</v>
      </c>
      <c r="D19" s="9">
        <f>Assumptions!$B$10+($B$20-Assumptions!$B$10)*2/9</f>
        <v>0.031554412048108486</v>
      </c>
      <c r="E19" s="9">
        <f>Assumptions!$B$10+($B$20-Assumptions!$B$10)*3/9</f>
        <v>0.034640179630831644</v>
      </c>
      <c r="F19" s="9">
        <f>Assumptions!$B$10+($B$20-Assumptions!$B$10)*4/9</f>
        <v>0.0377259472135548</v>
      </c>
      <c r="G19" s="9">
        <f>Assumptions!$B$10+($B$20-Assumptions!$B$10)*5/9</f>
        <v>0.040811714796277966</v>
      </c>
      <c r="H19" s="9">
        <f>Assumptions!$B$10+($B$20-Assumptions!$B$10)*6/9</f>
        <v>0.043897482379001124</v>
      </c>
      <c r="I19" s="9">
        <f>Assumptions!$B$10+($B$20-Assumptions!$B$10)*7/9</f>
        <v>0.04698324996172429</v>
      </c>
      <c r="J19" s="9">
        <f>Assumptions!$B$10+($B$20-Assumptions!$B$10)*8/9</f>
        <v>0.05006901754444744</v>
      </c>
      <c r="K19" s="9">
        <f>Assumptions!$B$10+($B$20-Assumptions!$B$10)*9/9</f>
        <v>0.0531547851271706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0.0531547851271706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10183988052.79163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13666958367.896898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0.2074202807547909</v>
      </c>
    </row>
    <row r="7" spans="1:2" x14ac:dyDescent="0.25">
      <c r="A7" t="s">
        <v>66</v>
      </c>
      <c r="B7" s="18">
        <f>-MAX(B5,0)*B6</f>
        <v>-2834804341.7332134</v>
      </c>
    </row>
    <row r="8" spans="1:2" x14ac:dyDescent="0.25">
      <c r="A8" t="s">
        <v>67</v>
      </c>
      <c r="B8" s="18">
        <f>IF(OR(Assumptions!$B$33=0,Assumptions!B12&lt;=0),B5,MAX(B5+B7,0))</f>
        <v>10832154026.163685</v>
      </c>
    </row>
    <row r="9" spans="1:2" x14ac:dyDescent="0.25">
      <c r="A9" t="s">
        <v>68</v>
      </c>
      <c r="B9" s="18">
        <f>B8*(1+Assumptions!B12)/(Assumptions!B26-Assumptions!B12)</f>
        <v>151163908060.0215</v>
      </c>
    </row>
    <row r="10" spans="1:2" x14ac:dyDescent="0.25">
      <c r="A10" t="s">
        <v>69</v>
      </c>
      <c r="B10" s="18">
        <f>B9/(1+Assumptions!B26)^(10-0.5*Assumptions!B32)</f>
        <v>61949256782.72886</v>
      </c>
    </row>
    <row r="11" spans="1:2" x14ac:dyDescent="0.25">
      <c r="A11" t="s">
        <v>70</v>
      </c>
      <c r="B11" s="18">
        <f>Forecast!B17+B10</f>
        <v>111707422572.43521</v>
      </c>
    </row>
    <row r="12" spans="1:2" x14ac:dyDescent="0.25">
      <c r="A12" t="s">
        <v>71</v>
      </c>
      <c r="B12" s="18">
        <f>-Assumptions!B30</f>
        <v>-8103000000</v>
      </c>
    </row>
    <row r="13" spans="1:2" x14ac:dyDescent="0.25">
      <c r="A13" t="s">
        <v>72</v>
      </c>
      <c r="B13" s="18">
        <f>B11+B12</f>
        <v>103604422572.43521</v>
      </c>
    </row>
    <row r="14" spans="1:2" x14ac:dyDescent="0.25">
      <c r="A14" s="19" t="s">
        <v>73</v>
      </c>
      <c r="B14" s="24">
        <f>B13/Assumptions!B31</f>
        <v>97.00788630377829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17666834359.634552</v>
      </c>
    </row>
    <row r="18" spans="1:2" x14ac:dyDescent="0.25">
      <c r="A18" t="s">
        <v>68</v>
      </c>
      <c r="B18" s="18">
        <f>B17*Assumptions!B13</f>
        <v>353336687192.69104</v>
      </c>
    </row>
    <row r="19" spans="1:2" x14ac:dyDescent="0.25">
      <c r="A19" t="s">
        <v>69</v>
      </c>
      <c r="B19" s="18">
        <f>B18/(1+Assumptions!B26)^(10-0.5*Assumptions!B32)</f>
        <v>144802720745.79788</v>
      </c>
    </row>
    <row r="20" spans="1:2" x14ac:dyDescent="0.25">
      <c r="A20" t="s">
        <v>70</v>
      </c>
      <c r="B20" s="18">
        <f>Forecast!B17+B19</f>
        <v>194560886535.50424</v>
      </c>
    </row>
    <row r="21" spans="1:2" x14ac:dyDescent="0.25">
      <c r="A21" t="s">
        <v>71</v>
      </c>
      <c r="B21" s="18">
        <f>-Assumptions!B30</f>
        <v>-8103000000</v>
      </c>
    </row>
    <row r="22" spans="1:2" x14ac:dyDescent="0.25">
      <c r="A22" t="s">
        <v>72</v>
      </c>
      <c r="B22" s="18">
        <f>B20+B21</f>
        <v>186457886535.50424</v>
      </c>
    </row>
    <row r="23" spans="1:2" x14ac:dyDescent="0.25">
      <c r="A23" s="19" t="s">
        <v>73</v>
      </c>
      <c r="B23" s="25">
        <f>B22/Assumptions!B31</f>
        <v>174.5860360819328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301.8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97.00788630377829</v>
      </c>
    </row>
    <row r="29" spans="1:2" x14ac:dyDescent="0.25">
      <c r="A29" s="19" t="s">
        <v>81</v>
      </c>
      <c r="B29" s="11">
        <f>B28/B26-1</f>
        <v>-0.6785689651962283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0.07845</v>
      </c>
      <c r="B5" s="31">
        <v>133.64069278720132</v>
      </c>
      <c r="C5" s="31">
        <v>135.65853975722746</v>
      </c>
      <c r="D5" s="31">
        <v>138.26941493700835</v>
      </c>
      <c r="E5" s="31">
        <v>141.65691839148366</v>
      </c>
      <c r="F5" s="31">
        <v>146.08916114759037</v>
      </c>
    </row>
    <row r="6" spans="1:6" x14ac:dyDescent="0.25">
      <c r="A6" s="30">
        <v>0.08845</v>
      </c>
      <c r="B6" s="31">
        <v>112.96837352575227</v>
      </c>
      <c r="C6" s="31">
        <v>113.52750151512629</v>
      </c>
      <c r="D6" s="31">
        <v>114.3463602033175</v>
      </c>
      <c r="E6" s="31">
        <v>115.49160417513792</v>
      </c>
      <c r="F6" s="31">
        <v>117.05482892646097</v>
      </c>
    </row>
    <row r="7" spans="1:6" x14ac:dyDescent="0.25">
      <c r="A7" s="30">
        <v>0.09845</v>
      </c>
      <c r="B7" s="31">
        <v>97.3463120322049</v>
      </c>
      <c r="C7" s="31">
        <v>97.12208296486662</v>
      </c>
      <c r="D7" s="32">
        <v>97.00757813469127</v>
      </c>
      <c r="E7" s="31">
        <v>97.02684229781389</v>
      </c>
      <c r="F7" s="31">
        <v>97.2114993297186</v>
      </c>
    </row>
    <row r="8" spans="1:6" x14ac:dyDescent="0.25">
      <c r="A8" s="30">
        <v>0.10845</v>
      </c>
      <c r="B8" s="31">
        <v>85.14649813116009</v>
      </c>
      <c r="C8" s="31">
        <v>84.49439383028006</v>
      </c>
      <c r="D8" s="31">
        <v>83.88103267230044</v>
      </c>
      <c r="E8" s="31">
        <v>83.31382252393264</v>
      </c>
      <c r="F8" s="31">
        <v>82.80218837012117</v>
      </c>
    </row>
    <row r="9" spans="1:6" x14ac:dyDescent="0.25">
      <c r="A9" s="30">
        <v>0.11845</v>
      </c>
      <c r="B9" s="31">
        <v>75.37096228052249</v>
      </c>
      <c r="C9" s="31">
        <v>74.48845543033505</v>
      </c>
      <c r="D9" s="31">
        <v>73.61042478282582</v>
      </c>
      <c r="E9" s="31">
        <v>72.73762944528902</v>
      </c>
      <c r="F9" s="31">
        <v>71.87101045606597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45855000000</v>
      </c>
      <c r="C5" s="18">
        <v>38702000000</v>
      </c>
      <c r="D5" s="18">
        <v>35348000000</v>
      </c>
      <c r="E5" s="18">
        <v>29139000000</v>
      </c>
      <c r="F5" s="6" t="s">
        <v>91</v>
      </c>
    </row>
    <row r="6" spans="1:6" x14ac:dyDescent="0.25">
      <c r="A6" t="s">
        <v>51</v>
      </c>
      <c r="B6" s="18">
        <v>8680000000</v>
      </c>
      <c r="C6" s="18">
        <v>6761000000</v>
      </c>
      <c r="D6" s="18">
        <v>4717000000</v>
      </c>
      <c r="E6" s="18">
        <v>3596000000</v>
      </c>
      <c r="F6" s="6" t="s">
        <v>92</v>
      </c>
    </row>
    <row r="7" spans="1:6" x14ac:dyDescent="0.25">
      <c r="A7" t="s">
        <v>93</v>
      </c>
      <c r="B7" s="18">
        <v>1220000000</v>
      </c>
      <c r="C7" s="18">
        <v>1184000000</v>
      </c>
      <c r="D7" s="18">
        <v>1179000000</v>
      </c>
      <c r="E7" s="18">
        <v>1184000000</v>
      </c>
      <c r="F7" s="6" t="s">
        <v>94</v>
      </c>
    </row>
    <row r="8" spans="1:6" x14ac:dyDescent="0.25">
      <c r="A8" t="s">
        <v>95</v>
      </c>
      <c r="B8" s="18">
        <v>1273000000</v>
      </c>
      <c r="C8" s="18">
        <v>1032000000</v>
      </c>
      <c r="D8" s="18">
        <v>862000000</v>
      </c>
      <c r="E8" s="18">
        <v>662000000</v>
      </c>
      <c r="F8" s="6" t="s">
        <v>96</v>
      </c>
    </row>
    <row r="9" spans="1:6" x14ac:dyDescent="0.25">
      <c r="A9" t="s">
        <v>97</v>
      </c>
      <c r="B9" s="18">
        <v>470000000</v>
      </c>
      <c r="C9" s="18">
        <v>697000000</v>
      </c>
      <c r="D9" s="18">
        <v>-420000000</v>
      </c>
      <c r="E9" s="18">
        <v>-1129000000</v>
      </c>
      <c r="F9" s="6" t="s">
        <v>98</v>
      </c>
    </row>
    <row r="10" spans="1:6" x14ac:dyDescent="0.25">
      <c r="A10" t="s">
        <v>99</v>
      </c>
      <c r="B10" s="18">
        <v>20495000000</v>
      </c>
      <c r="C10" s="18">
        <v>19273000000</v>
      </c>
      <c r="D10" s="18">
        <v>20525000000</v>
      </c>
      <c r="E10" s="18">
        <v>26148000000</v>
      </c>
      <c r="F10" s="6" t="s">
        <v>100</v>
      </c>
    </row>
    <row r="11" spans="1:6" x14ac:dyDescent="0.25">
      <c r="A11" t="s">
        <v>101</v>
      </c>
      <c r="B11" s="18">
        <v>12392000000</v>
      </c>
      <c r="C11" s="18">
        <v>14601000000</v>
      </c>
      <c r="D11" s="18">
        <v>20910000000</v>
      </c>
      <c r="E11" s="18">
        <v>23419000000</v>
      </c>
      <c r="F11" s="6" t="s">
        <v>102</v>
      </c>
    </row>
    <row r="12" spans="1:6" x14ac:dyDescent="0.25">
      <c r="A12" t="s">
        <v>34</v>
      </c>
      <c r="B12" s="34">
        <v>1068000000</v>
      </c>
      <c r="C12" s="34">
        <v>1094490818</v>
      </c>
      <c r="D12" s="34">
        <v>1099000000</v>
      </c>
      <c r="E12" s="34">
        <v>1096000000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