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<sst xmlns="http://schemas.openxmlformats.org/spreadsheetml/2006/main" count="112" uniqueCount="100">
  <si>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GE Aerospace (GE)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</si>
  <si>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</si>
  <si>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</si>
  <si>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</si>
  <si>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</si>
  <si>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</si>
  <si>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</si>
  <si>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</si>
  <si>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</si>
  <si>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</si>
  <si>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</si>
  <si>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</si>
  <si>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</si>
  <si>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</si>
  <si>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</si>
  <si>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</si>
  <si>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</si>
  <si>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</si>
  <si>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</si>
  <si>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</si>
  <si>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</si>
  <si>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</si>
  <si>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</si>
  <si>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</si>
  <si>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</si>
  <si>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</si>
  <si>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</si>
  <si>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</si>
  <si>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</si>
  <si>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</si>
  <si>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</si>
  <si>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</si>
  <si>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</si>
  <si>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</si>
  <si>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</si>
  <si>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</si>
  <si>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</si>
  <si>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</si>
  <si>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</si>
  <si>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</si>
  <si>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</si>
  <si>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</si>
  <si>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</si>
  <si>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</si>
  <si>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</si>
  <si>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</si>
  <si>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</si>
  <si>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</si>
  <si>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</si>
  <si>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</si>
  <si>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</si>
  <si>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</si>
  <si>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</si>
  <si>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</si>
  <si>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</si>
  <si>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</si>
  <si>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</si>
  <si>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</si>
  <si>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</si>
  <si>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</si>
  <si>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</si>
  <si>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</si>
  <si>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</si>
  <si>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</si>
  <si>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</si>
  <si>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</si>
  <si>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</si>
  <si>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</si>
  <si>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</si>
  <si>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</si>
  <si>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</si>
  <si>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</si>
  <si>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</si>
  <si>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</si>
  <si>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</si>
  <si>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</si>
  <si>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</si>
  <si>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</si>
  <si>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</si>
  <si>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</si>
  <si>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</si>
  <si>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</si>
  <si>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</si>
  <si>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</si>
  <si>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</si>
  <si>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</si>
  <si>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</si>
  <si>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</si>
  <si>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</si>
  <si>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</si>
  <si>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</si>
  <si>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</si>
  <si>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</si>
  <si>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</si>
  <si>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</si>
  <si>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</si>
  <si>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</si>
  <si>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</si>
  <si>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33.8x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</si>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</sst>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0.1631543559703441</v>
      </c>
    </row>
    <row r="7" spans="1:2" x14ac:dyDescent="0.25">
      <c r="A7" t="s">
        <v>5</v>
      </c>
      <c r="B7" s="6">
        <v>0.15520981176098658</v>
      </c>
    </row>
    <row r="8" spans="1:2" x14ac:dyDescent="0.25">
      <c r="A8" t="s">
        <v>6</v>
      </c>
      <c r="B8" s="6">
        <v>0.11864241345653082</v>
      </c>
    </row>
    <row r="9" spans="1:2" x14ac:dyDescent="0.25">
      <c r="A9" t="s">
        <v>7</v>
      </c>
      <c r="B9" s="6">
        <v>0.03279631178560334</v>
      </c>
    </row>
    <row r="10" spans="1:2" x14ac:dyDescent="0.25">
      <c r="A10" t="s">
        <v>8</v>
      </c>
      <c r="B10" s="6">
        <v>0.025382876882662164</v>
      </c>
    </row>
    <row r="11" spans="1:2" x14ac:dyDescent="0.25">
      <c r="A11" t="s">
        <v>9</v>
      </c>
      <c r="B11" s="6">
        <v>0.0657066964909828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0.12052823334838034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1.2345000000000002</v>
      </c>
      <c r="C19" s="8" t="s">
        <v>19</v>
      </c>
    </row>
    <row r="20" spans="1:2" x14ac:dyDescent="0.25">
      <c r="A20" t="s">
        <v>20</v>
      </c>
      <c r="B20" s="10">
        <f>B17+B19*B18</f>
        <v>0.11787750000000002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326074761216</v>
      </c>
    </row>
    <row r="23" spans="1:2" x14ac:dyDescent="0.25">
      <c r="A23" t="s">
        <v>24</v>
      </c>
      <c r="B23" s="11">
        <v>20495000000</v>
      </c>
    </row>
    <row r="24" spans="1:2" x14ac:dyDescent="0.25">
      <c r="A24" t="s">
        <v>25</v>
      </c>
      <c r="B24" s="10">
        <f>B22/(B22+B23)</f>
        <v>0.9408632769111485</v>
      </c>
    </row>
    <row r="25" spans="1:2" x14ac:dyDescent="0.25">
      <c r="A25" t="s">
        <v>26</v>
      </c>
      <c r="B25" s="10">
        <f>1-B24</f>
        <v>0.05913672308885154</v>
      </c>
    </row>
    <row r="26" spans="1:2" x14ac:dyDescent="0.25">
      <c r="A26" t="s">
        <v>27</v>
      </c>
      <c r="B26" s="12">
        <f>B24*B20+B25*B21*(1-B8)</f>
        <v>0.11351159848898716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45855000000</v>
      </c>
      <c r="C29" s="8" t="s">
        <v>30</v>
      </c>
    </row>
    <row r="30" spans="1:2" x14ac:dyDescent="0.25">
      <c r="A30" t="s">
        <v>31</v>
      </c>
      <c r="B30" s="11">
        <v>8103000000</v>
      </c>
    </row>
    <row r="31" spans="1:2" x14ac:dyDescent="0.25">
      <c r="A31" t="s">
        <v>32</v>
      </c>
      <c r="B31" s="13">
        <v>1068000000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0.1631543559703441</v>
      </c>
      <c r="C5" s="10">
        <f>Assumptions!B6</f>
        <v>0.1631543559703441</v>
      </c>
      <c r="D5" s="10">
        <f>Assumptions!B6</f>
        <v>0.1631543559703441</v>
      </c>
      <c r="E5" s="10">
        <f>Assumptions!B6</f>
        <v>0.1631543559703441</v>
      </c>
      <c r="F5" s="10">
        <f>Assumptions!B6</f>
        <v>0.1631543559703441</v>
      </c>
    </row>
    <row r="6" spans="1:6" x14ac:dyDescent="0.25">
      <c r="A6" t="s">
        <v>43</v>
      </c>
      <c r="B6" s="18">
        <f>Assumptions!B29*(1+B5)</f>
        <v>53336442993.02013</v>
      </c>
      <c r="C6" s="18">
        <f>B6*(1+C5)</f>
        <v>62038515999.295296</v>
      </c>
      <c r="D6" s="18">
        <f>C6*(1+D5)</f>
        <v>72160370122.5162</v>
      </c>
      <c r="E6" s="18">
        <f>D6*(1+E5)</f>
        <v>83933648836.437</v>
      </c>
      <c r="F6" s="18">
        <f>E6*(1+F5)</f>
        <v>97627789256.5869</v>
      </c>
    </row>
    <row r="7" spans="1:6" x14ac:dyDescent="0.25">
      <c r="A7" t="s">
        <v>5</v>
      </c>
      <c r="B7" s="10">
        <f>Assumptions!B7</f>
        <v>0.15520981176098658</v>
      </c>
      <c r="C7" s="10">
        <f>Assumptions!B7</f>
        <v>0.15520981176098658</v>
      </c>
      <c r="D7" s="10">
        <f>Assumptions!B7</f>
        <v>0.15520981176098658</v>
      </c>
      <c r="E7" s="10">
        <f>Assumptions!B7</f>
        <v>0.15520981176098658</v>
      </c>
      <c r="F7" s="10">
        <f>Assumptions!B7</f>
        <v>0.15520981176098658</v>
      </c>
    </row>
    <row r="8" spans="1:6" x14ac:dyDescent="0.25">
      <c r="A8" t="s">
        <v>44</v>
      </c>
      <c r="B8" s="18">
        <f>B6*B7</f>
        <v>8278339276.947246</v>
      </c>
      <c r="C8" s="18">
        <f>C6*C7</f>
        <v>9628986390.181578</v>
      </c>
      <c r="D8" s="18">
        <f>D6*D7</f>
        <v>11199997463.318861</v>
      </c>
      <c r="E8" s="18">
        <f>E6*E7</f>
        <v>13027325836.316137</v>
      </c>
      <c r="F8" s="18">
        <f>F6*F7</f>
        <v>15152790793.15612</v>
      </c>
    </row>
    <row r="9" spans="1:6" x14ac:dyDescent="0.25">
      <c r="A9" t="s">
        <v>45</v>
      </c>
      <c r="B9" s="18">
        <f>B8*(1-Assumptions!B8)</f>
        <v>7296177125.718232</v>
      </c>
      <c r="C9" s="18">
        <f>C8*(1-Assumptions!B8)</f>
        <v>8486580205.710347</v>
      </c>
      <c r="D9" s="18">
        <f>D8*(1-Assumptions!B8)</f>
        <v>9871202733.563688</v>
      </c>
      <c r="E9" s="18">
        <f>E8*(1-Assumptions!B8)</f>
        <v>11481732458.210972</v>
      </c>
      <c r="F9" s="18">
        <f>F8*(1-Assumptions!B8)</f>
        <v>13355027122.854177</v>
      </c>
    </row>
    <row r="10" spans="1:6" x14ac:dyDescent="0.25">
      <c r="A10" t="s">
        <v>46</v>
      </c>
      <c r="B10" s="18">
        <f>B6*Assumptions!B9</f>
        <v>1749238613.9341466</v>
      </c>
      <c r="C10" s="18">
        <f>C6*Assumptions!B9</f>
        <v>2034634513.4290297</v>
      </c>
      <c r="D10" s="18">
        <f>D6*Assumptions!B9</f>
        <v>2366593997.102577</v>
      </c>
      <c r="E10" s="18">
        <f>E6*Assumptions!B9</f>
        <v>2752714116.543131</v>
      </c>
      <c r="F10" s="18">
        <f>F6*Assumptions!B9</f>
        <v>3201831415.3982</v>
      </c>
    </row>
    <row r="11" spans="1:6" x14ac:dyDescent="0.25">
      <c r="A11" t="s">
        <v>47</v>
      </c>
      <c r="B11" s="18">
        <f>-B6*Assumptions!B10</f>
        <v>-1353832365.8509588</v>
      </c>
      <c r="C11" s="18">
        <f>-C6*Assumptions!B10</f>
        <v>-1574716013.5931795</v>
      </c>
      <c r="D11" s="18">
        <f>-D6*Assumptions!B10</f>
        <v>-1831637790.6271622</v>
      </c>
      <c r="E11" s="18">
        <f>-E6*Assumptions!B10</f>
        <v>-2130477474.7278807</v>
      </c>
      <c r="F11" s="18">
        <f>-F6*Assumptions!B10</f>
        <v>-2478074155.026433</v>
      </c>
    </row>
    <row r="12" spans="1:6" x14ac:dyDescent="0.25">
      <c r="A12" t="s">
        <v>48</v>
      </c>
      <c r="B12" s="18">
        <f>-(B6-Assumptions!B29)*Assumptions!B11</f>
        <v>-491580904.05696344</v>
      </c>
      <c r="C12" s="18">
        <f>-(C6-B6)*Assumptions!B11</f>
        <v>-571784469.8656969</v>
      </c>
      <c r="D12" s="18">
        <f>-(D6-C6)*Assumptions!B11</f>
        <v>-665073596.8004792</v>
      </c>
      <c r="E12" s="18">
        <f>-(E6-D6)*Assumptions!B11</f>
        <v>-773583251.1593418</v>
      </c>
      <c r="F12" s="18">
        <f>-(F6-E6)*Assumptions!B11</f>
        <v>-899796728.2916894</v>
      </c>
    </row>
    <row r="13" spans="1:6" x14ac:dyDescent="0.25">
      <c r="A13" s="19" t="s">
        <v>49</v>
      </c>
      <c r="B13" s="20">
        <f>B9+B10+B11+B12</f>
        <v>7200002469.744455</v>
      </c>
      <c r="C13" s="20">
        <f>C9+C10+C11+C12</f>
        <v>8374714235.680501</v>
      </c>
      <c r="D13" s="20">
        <f>D9+D10+D11+D12</f>
        <v>9741085343.238623</v>
      </c>
      <c r="E13" s="20">
        <f>E9+E10+E11+E12</f>
        <v>11330385848.86688</v>
      </c>
      <c r="F13" s="20">
        <f>F9+F10+F11+F12</f>
        <v>13178987654.934256</v>
      </c>
    </row>
    <row r="14" spans="1:6" x14ac:dyDescent="0.25">
      <c r="A14" t="s">
        <v>50</v>
      </c>
      <c r="B14" s="21">
        <f>1/(1+Assumptions!$B$26)^(1-0.5*Assumptions!$B$32)</f>
        <v>0.947660169530005</v>
      </c>
      <c r="C14" s="21">
        <f>1/(1+Assumptions!$B$26)^(2-0.5*Assumptions!$B$32)</f>
        <v>0.8510554993912599</v>
      </c>
      <c r="D14" s="21">
        <f>1/(1+Assumptions!$B$26)^(3-0.5*Assumptions!$B$32)</f>
        <v>0.7642987289455494</v>
      </c>
      <c r="E14" s="21">
        <f>1/(1+Assumptions!$B$26)^(4-0.5*Assumptions!$B$32)</f>
        <v>0.6863859612981916</v>
      </c>
      <c r="F14" s="21">
        <f>1/(1+Assumptions!$B$26)^(5-0.5*Assumptions!$B$32)</f>
        <v>0.616415637007826</v>
      </c>
    </row>
    <row r="15" spans="1:6" x14ac:dyDescent="0.25">
      <c r="A15" s="19" t="s">
        <v>51</v>
      </c>
      <c r="B15" s="20">
        <f>B13*B14</f>
        <v>6823155561.094485</v>
      </c>
      <c r="C15" s="20">
        <f>C13*C14</f>
        <v>7127346606.106162</v>
      </c>
      <c r="D15" s="20">
        <f>D13*D14</f>
        <v>7445099146.3874</v>
      </c>
      <c r="E15" s="20">
        <f>E13*E14</f>
        <v>7777017782.753921</v>
      </c>
      <c r="F15" s="20">
        <f>F13*F14</f>
        <v>8123734070.434574</v>
      </c>
    </row>
    <row r="17" spans="1:2" x14ac:dyDescent="0.25">
      <c r="A17" s="22" t="s">
        <v>52</v>
      </c>
      <c r="B17" s="23">
        <f>SUM(B15:F15)</f>
        <v>37296353166.77654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13178987654.934256</v>
      </c>
    </row>
    <row r="5" spans="1:2" x14ac:dyDescent="0.25">
      <c r="A5" t="s">
        <v>56</v>
      </c>
      <c r="B5" s="18">
        <f>IF(Assumptions!$B$33=0,B4,B4-Forecast!F11-Forecast!F10-Forecast!F12)</f>
        <v>14199026972.02719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0.2074202807547909</v>
      </c>
    </row>
    <row r="7" spans="1:2" x14ac:dyDescent="0.25">
      <c r="A7" t="s">
        <v>58</v>
      </c>
      <c r="B7" s="18">
        <f>-MAX(Forecast!F9,0)*B6</f>
        <v>-2945166160.982728</v>
      </c>
    </row>
    <row r="8" spans="1:2" x14ac:dyDescent="0.25">
      <c r="A8" t="s">
        <v>59</v>
      </c>
      <c r="B8" s="18">
        <f>IF(OR(Assumptions!$B$33=0,Assumptions!B12&lt;=0),B5,MAX(B5+B7,0))</f>
        <v>11253860811.04446</v>
      </c>
    </row>
    <row r="9" spans="1:2" x14ac:dyDescent="0.25">
      <c r="A9" t="s">
        <v>60</v>
      </c>
      <c r="B9" s="18">
        <f>B8*(1+Assumptions!B12)/(Assumptions!B26-Assumptions!B12)</f>
        <v>130324245954.67915</v>
      </c>
    </row>
    <row r="10" spans="1:2" x14ac:dyDescent="0.25">
      <c r="A10" t="s">
        <v>61</v>
      </c>
      <c r="B10" s="18">
        <f>B9/(1+Assumptions!B26)^(5-0.5*Assumptions!B32)</f>
        <v>80333903087.71814</v>
      </c>
    </row>
    <row r="11" spans="1:2" x14ac:dyDescent="0.25">
      <c r="A11" t="s">
        <v>62</v>
      </c>
      <c r="B11" s="18">
        <f>Forecast!B17+B10</f>
        <v>117630256254.49469</v>
      </c>
    </row>
    <row r="12" spans="1:2" x14ac:dyDescent="0.25">
      <c r="A12" t="s">
        <v>63</v>
      </c>
      <c r="B12" s="18">
        <f>-Assumptions!B30</f>
        <v>-8103000000</v>
      </c>
    </row>
    <row r="13" spans="1:2" x14ac:dyDescent="0.25">
      <c r="A13" t="s">
        <v>64</v>
      </c>
      <c r="B13" s="18">
        <f>B11+B12</f>
        <v>109527256254.49469</v>
      </c>
    </row>
    <row r="14" spans="1:2" x14ac:dyDescent="0.25">
      <c r="A14" s="19" t="s">
        <v>65</v>
      </c>
      <c r="B14" s="24">
        <f>B13/Assumptions!B31</f>
        <v>102.5536107251823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18354622208.55432</v>
      </c>
    </row>
    <row r="18" spans="1:2" x14ac:dyDescent="0.25">
      <c r="A18" t="s">
        <v>60</v>
      </c>
      <c r="B18" s="18">
        <f>B17*Assumptions!B13</f>
        <v>367092444171.0864</v>
      </c>
    </row>
    <row r="19" spans="1:2" x14ac:dyDescent="0.25">
      <c r="A19" t="s">
        <v>61</v>
      </c>
      <c r="B19" s="18">
        <f>B18/(1+Assumptions!B26)^(5-0.5*Assumptions!B32)</f>
        <v>226281522814.48004</v>
      </c>
    </row>
    <row r="20" spans="1:2" x14ac:dyDescent="0.25">
      <c r="A20" t="s">
        <v>62</v>
      </c>
      <c r="B20" s="18">
        <f>Forecast!B17+B19</f>
        <v>263577875981.2566</v>
      </c>
    </row>
    <row r="21" spans="1:2" x14ac:dyDescent="0.25">
      <c r="A21" t="s">
        <v>63</v>
      </c>
      <c r="B21" s="18">
        <f>-Assumptions!B30</f>
        <v>-8103000000</v>
      </c>
    </row>
    <row r="22" spans="1:2" x14ac:dyDescent="0.25">
      <c r="A22" t="s">
        <v>64</v>
      </c>
      <c r="B22" s="18">
        <f>B20+B21</f>
        <v>255474875981.2566</v>
      </c>
    </row>
    <row r="23" spans="1:2" x14ac:dyDescent="0.25">
      <c r="A23" s="19" t="s">
        <v>65</v>
      </c>
      <c r="B23" s="25">
        <f>B22/Assumptions!B31</f>
        <v>239.20868537570843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314.27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102.5536107251823</v>
      </c>
    </row>
    <row r="29" spans="1:2" x14ac:dyDescent="0.25">
      <c r="A29" s="19" t="s">
        <v>73</v>
      </c>
      <c r="B29" s="12">
        <f>B28/B26-1</f>
        <v>-0.673676740620542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0.093512</v>
      </c>
      <c r="B5" s="31">
        <v>129.667831101576</v>
      </c>
      <c r="C5" s="31">
        <v>131.92475558236572</v>
      </c>
      <c r="D5" s="31">
        <v>134.45726151416662</v>
      </c>
      <c r="E5" s="31">
        <v>137.33043457787636</v>
      </c>
      <c r="F5" s="31">
        <v>140.6316074057521</v>
      </c>
    </row>
    <row r="6" spans="1:6" x14ac:dyDescent="0.25">
      <c r="A6" s="30">
        <v>0.103512</v>
      </c>
      <c r="B6" s="31">
        <v>113.8529231576823</v>
      </c>
      <c r="C6" s="31">
        <v>115.10639628906056</v>
      </c>
      <c r="D6" s="31">
        <v>116.47442735831302</v>
      </c>
      <c r="E6" s="31">
        <v>117.98039172005005</v>
      </c>
      <c r="F6" s="31">
        <v>119.65448845453884</v>
      </c>
    </row>
    <row r="7" spans="1:6" x14ac:dyDescent="0.25">
      <c r="A7" s="30">
        <v>0.113512</v>
      </c>
      <c r="B7" s="31">
        <v>101.26394652182782</v>
      </c>
      <c r="C7" s="31">
        <v>101.89224330305564</v>
      </c>
      <c r="D7" s="32">
        <v>102.55311488575994</v>
      </c>
      <c r="E7" s="31">
        <v>103.25241218983433</v>
      </c>
      <c r="F7" s="31">
        <v>103.99747658756004</v>
      </c>
    </row>
    <row r="8" spans="1:6" x14ac:dyDescent="0.25">
      <c r="A8" s="30">
        <v>0.123512</v>
      </c>
      <c r="B8" s="31">
        <v>91.2298980463535</v>
      </c>
      <c r="C8" s="31">
        <v>91.54857338966512</v>
      </c>
      <c r="D8" s="31">
        <v>91.86724873297675</v>
      </c>
      <c r="E8" s="31">
        <v>92.18592407628837</v>
      </c>
      <c r="F8" s="31">
        <v>92.50459941959997</v>
      </c>
    </row>
    <row r="9" spans="1:6" x14ac:dyDescent="0.25">
      <c r="A9" s="30">
        <v>0.133512</v>
      </c>
      <c r="B9" s="31">
        <v>83.27955111858259</v>
      </c>
      <c r="C9" s="31">
        <v>83.56283344762146</v>
      </c>
      <c r="D9" s="31">
        <v>83.8461157766603</v>
      </c>
      <c r="E9" s="31">
        <v>84.12939810569918</v>
      </c>
      <c r="F9" s="31">
        <v>84.41268043473802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45855000000</v>
      </c>
      <c r="C5" s="18">
        <v>38702000000</v>
      </c>
      <c r="D5" s="18">
        <v>35348000000</v>
      </c>
      <c r="E5" s="18">
        <v>29139000000</v>
      </c>
      <c r="F5" s="8" t="s">
        <v>84</v>
      </c>
    </row>
    <row r="6" spans="1:6" x14ac:dyDescent="0.25">
      <c r="A6" t="s">
        <v>44</v>
      </c>
      <c r="B6" s="18">
        <v>8680000000</v>
      </c>
      <c r="C6" s="18">
        <v>6761000000</v>
      </c>
      <c r="D6" s="18">
        <v>4717000000</v>
      </c>
      <c r="E6" s="18">
        <v>3596000000</v>
      </c>
      <c r="F6" s="8" t="s">
        <v>85</v>
      </c>
    </row>
    <row r="7" spans="1:6" x14ac:dyDescent="0.25">
      <c r="A7" t="s">
        <v>86</v>
      </c>
      <c r="B7" s="18">
        <v>1220000000</v>
      </c>
      <c r="C7" s="18">
        <v>1184000000</v>
      </c>
      <c r="D7" s="18">
        <v>1179000000</v>
      </c>
      <c r="E7" s="18">
        <v>1184000000</v>
      </c>
      <c r="F7" s="8" t="s">
        <v>87</v>
      </c>
    </row>
    <row r="8" spans="1:6" x14ac:dyDescent="0.25">
      <c r="A8" t="s">
        <v>88</v>
      </c>
      <c r="B8" s="18">
        <v>1273000000</v>
      </c>
      <c r="C8" s="18">
        <v>1032000000</v>
      </c>
      <c r="D8" s="18">
        <v>862000000</v>
      </c>
      <c r="E8" s="18">
        <v>662000000</v>
      </c>
      <c r="F8" s="8" t="s">
        <v>89</v>
      </c>
    </row>
    <row r="9" spans="1:6" x14ac:dyDescent="0.25">
      <c r="A9" t="s">
        <v>90</v>
      </c>
      <c r="B9" s="18">
        <v>470000000</v>
      </c>
      <c r="C9" s="18">
        <v>697000000</v>
      </c>
      <c r="D9" s="18">
        <v>-420000000</v>
      </c>
      <c r="E9" s="18">
        <v>-1129000000</v>
      </c>
      <c r="F9" s="8" t="s">
        <v>91</v>
      </c>
    </row>
    <row r="10" spans="1:6" x14ac:dyDescent="0.25">
      <c r="A10" t="s">
        <v>92</v>
      </c>
      <c r="B10" s="18">
        <v>20495000000</v>
      </c>
      <c r="C10" s="18">
        <v>19273000000</v>
      </c>
      <c r="D10" s="18">
        <v>20525000000</v>
      </c>
      <c r="E10" s="18">
        <v>26148000000</v>
      </c>
      <c r="F10" s="8" t="s">
        <v>93</v>
      </c>
    </row>
    <row r="11" spans="1:6" x14ac:dyDescent="0.25">
      <c r="A11" t="s">
        <v>94</v>
      </c>
      <c r="B11" s="18">
        <v>12392000000</v>
      </c>
      <c r="C11" s="18">
        <v>14601000000</v>
      </c>
      <c r="D11" s="18">
        <v>20910000000</v>
      </c>
      <c r="E11" s="18">
        <v>23419000000</v>
      </c>
      <c r="F11" s="8" t="s">
        <v>95</v>
      </c>
    </row>
    <row r="12" spans="1:6" x14ac:dyDescent="0.25">
      <c r="A12" t="s">
        <v>32</v>
      </c>
      <c r="B12" s="34">
        <v>1068000000</v>
      </c>
      <c r="C12" s="34">
        <v>1094490818</v>
      </c>
      <c r="D12" s="34">
        <v>1099000000</v>
      </c>
      <c r="E12" s="34">
        <v>1096000000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