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<sst xmlns="http://schemas.openxmlformats.org/spreadsheetml/2006/main" count="112" uniqueCount="100">
  <si>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Geberit AG (GEBN.SW)</t>
  </si>
  <si>
    <t>DCF Studio - Base case</t>
  </si>
  <si>
    <t>Blue figures on a cream fill are inputs. Every other figure is a formula - change an input and the model reprices. Currency figures are CHF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</si>
  <si>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</si>
  <si>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</si>
  <si>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</si>
  <si>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</si>
  <si>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</si>
  <si>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</si>
  <si>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</si>
  <si>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</si>
  <si>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</si>
  <si>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</si>
  <si>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</si>
  <si>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</si>
  <si>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</si>
  <si>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</si>
  <si>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</si>
  <si>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</si>
  <si>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</si>
  <si>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</si>
  <si>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</si>
  <si>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</si>
  <si>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(CHF m)</t>
  </si>
  <si>
    <t>Total debt (CHF m)</t>
  </si>
  <si>
    <t>Equity weight</t>
  </si>
  <si>
    <t>Debt weight</t>
  </si>
  <si>
    <t>WACC</t>
  </si>
  <si>
    <t>Base year</t>
  </si>
  <si>
    <t>Revenue, last reported year (CHF m)</t>
  </si>
  <si>
    <t>Fiscal year ended 2025-12-31</t>
  </si>
  <si>
    <t>Net debt (CHF m)</t>
  </si>
  <si>
    <t>Diluted shares</t>
  </si>
  <si>
    <t>Mid-year discounting (1 = yes, 0 = no)</t>
  </si>
  <si>
    <t>Terminal year on a steady-state footing (1 = yes, 0 = no)</t>
  </si>
  <si>
    <t>Forecast cashflows (CHF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</si>
  <si>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</si>
  <si>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</si>
  <si>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</si>
  <si>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</si>
  <si>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</si>
  <si>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</si>
  <si>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</si>
  <si>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</si>
  <si>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</si>
  <si>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</si>
  <si>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</si>
  <si>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</si>
  <si>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</si>
  <si>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</si>
  <si>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</si>
  <si>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</si>
  <si>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</si>
  <si>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(CHF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</si>
  <si>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</si>
  <si>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</si>
  <si>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</si>
  <si>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</si>
  <si>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</si>
  <si>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</si>
  <si>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</si>
  <si>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</si>
  <si>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</si>
  <si>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</si>
  <si>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</si>
  <si>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</si>
  <si>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</si>
  <si>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</si>
  <si>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</si>
  <si>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</si>
  <si>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CHF to CHF</t>
  </si>
  <si>
    <t>Same currency, no conversion</t>
  </si>
  <si>
    <t>Value per share (CHF)</t>
  </si>
  <si>
    <t>Implied upside</t>
  </si>
  <si>
    <t>Value per share (CHF)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</si>
  <si>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</si>
  <si>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(CHF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</si>
  <si>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</si>
  <si>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</si>
  <si>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</si>
  <si>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</si>
  <si>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</si>
  <si>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</si>
  <si>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</si>
  <si>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</si>
  <si>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</si>
  <si>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</si>
  <si>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</si>
  <si>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</si>
  <si>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</si>
  <si>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</si>
  <si>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</si>
  <si>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</si>
  <si>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</si>
  <si>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</si>
  <si>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</si>
  <si>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</si>
  <si>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</si>
  <si>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CHF assumption - no free live source available for this market.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</si>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</sst>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-0.023030946726105173</v>
      </c>
    </row>
    <row r="7" spans="1:2" x14ac:dyDescent="0.25">
      <c r="A7" t="s">
        <v>5</v>
      </c>
      <c r="B7" s="6">
        <v>0.2403113837381326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0.04833113402187922</v>
      </c>
    </row>
    <row r="10" spans="1:2" x14ac:dyDescent="0.25">
      <c r="A10" t="s">
        <v>8</v>
      </c>
      <c r="B10" s="6">
        <v>0.05626773065688266</v>
      </c>
    </row>
    <row r="11" spans="1:2" x14ac:dyDescent="0.25">
      <c r="A11" t="s">
        <v>9</v>
      </c>
      <c r="B11" s="6">
        <v>0.09512987012987013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19.568211476466796</v>
      </c>
    </row>
    <row r="14" spans="1:3" x14ac:dyDescent="0.25">
      <c r="A14" t="s">
        <v>12</v>
      </c>
      <c r="B14" s="6">
        <v>0.24962499969361612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1.02881</v>
      </c>
      <c r="C19" s="8" t="s">
        <v>19</v>
      </c>
    </row>
    <row r="20" spans="1:2" x14ac:dyDescent="0.25">
      <c r="A20" t="s">
        <v>20</v>
      </c>
      <c r="B20" s="10">
        <f>B17+B19*B18</f>
        <v>0.061584549999999995</v>
      </c>
    </row>
    <row r="21" spans="1:3" x14ac:dyDescent="0.25">
      <c r="A21" t="s">
        <v>21</v>
      </c>
      <c r="B21" s="6">
        <v>0.02045529528208512</v>
      </c>
      <c r="C21" s="8" t="s">
        <v>22</v>
      </c>
    </row>
    <row r="22" spans="1:2" x14ac:dyDescent="0.25">
      <c r="A22" t="s">
        <v>23</v>
      </c>
      <c r="B22" s="11">
        <v>17441177600</v>
      </c>
    </row>
    <row r="23" spans="1:2" x14ac:dyDescent="0.25">
      <c r="A23" t="s">
        <v>24</v>
      </c>
      <c r="B23" s="11">
        <v>1354800000</v>
      </c>
    </row>
    <row r="24" spans="1:2" x14ac:dyDescent="0.25">
      <c r="A24" t="s">
        <v>25</v>
      </c>
      <c r="B24" s="10">
        <f>B22/(B22+B23)</f>
        <v>0.9279207483201086</v>
      </c>
    </row>
    <row r="25" spans="1:2" x14ac:dyDescent="0.25">
      <c r="A25" t="s">
        <v>26</v>
      </c>
      <c r="B25" s="10">
        <f>1-B24</f>
        <v>0.07207925167989138</v>
      </c>
    </row>
    <row r="26" spans="1:2" x14ac:dyDescent="0.25">
      <c r="A26" t="s">
        <v>27</v>
      </c>
      <c r="B26" s="12">
        <f>B24*B20+B25*B21*(1-B8)</f>
        <v>0.05839882374125746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3162900000</v>
      </c>
      <c r="C29" s="8" t="s">
        <v>30</v>
      </c>
    </row>
    <row r="30" spans="1:2" x14ac:dyDescent="0.25">
      <c r="A30" t="s">
        <v>31</v>
      </c>
      <c r="B30" s="11">
        <v>769000000</v>
      </c>
    </row>
    <row r="31" spans="1:2" x14ac:dyDescent="0.25">
      <c r="A31" t="s">
        <v>32</v>
      </c>
      <c r="B31" s="13">
        <v>33142000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-0.023030946726105173</v>
      </c>
      <c r="C5" s="10">
        <f>Assumptions!B6</f>
        <v>-0.023030946726105173</v>
      </c>
      <c r="D5" s="10">
        <f>Assumptions!B6</f>
        <v>-0.023030946726105173</v>
      </c>
      <c r="E5" s="10">
        <f>Assumptions!B6</f>
        <v>-0.023030946726105173</v>
      </c>
      <c r="F5" s="10">
        <f>Assumptions!B6</f>
        <v>-0.023030946726105173</v>
      </c>
    </row>
    <row r="6" spans="1:6" x14ac:dyDescent="0.25">
      <c r="A6" t="s">
        <v>43</v>
      </c>
      <c r="B6" s="18">
        <f>Assumptions!B29*(1+B5)</f>
        <v>3090055418.600002</v>
      </c>
      <c r="C6" s="18">
        <f>B6*(1+C5)</f>
        <v>3018888516.8735127</v>
      </c>
      <c r="D6" s="18">
        <f>C6*(1+D5)</f>
        <v>2949360656.269348</v>
      </c>
      <c r="E6" s="18">
        <f>D6*(1+E5)</f>
        <v>2881434088.118738</v>
      </c>
      <c r="F6" s="18">
        <f>E6*(1+F5)</f>
        <v>2815071933.140492</v>
      </c>
    </row>
    <row r="7" spans="1:6" x14ac:dyDescent="0.25">
      <c r="A7" t="s">
        <v>5</v>
      </c>
      <c r="B7" s="10">
        <f>Assumptions!B7</f>
        <v>0.2403113837381326</v>
      </c>
      <c r="C7" s="10">
        <f>Assumptions!B7</f>
        <v>0.2403113837381326</v>
      </c>
      <c r="D7" s="10">
        <f>Assumptions!B7</f>
        <v>0.2403113837381326</v>
      </c>
      <c r="E7" s="10">
        <f>Assumptions!B7</f>
        <v>0.2403113837381326</v>
      </c>
      <c r="F7" s="10">
        <f>Assumptions!B7</f>
        <v>0.2403113837381326</v>
      </c>
    </row>
    <row r="8" spans="1:6" x14ac:dyDescent="0.25">
      <c r="A8" t="s">
        <v>44</v>
      </c>
      <c r="B8" s="18">
        <f>B6*B7</f>
        <v>742575493.471281</v>
      </c>
      <c r="C8" s="18">
        <f>C6*C7</f>
        <v>725473276.8410327</v>
      </c>
      <c r="D8" s="18">
        <f>D6*D7</f>
        <v>708764940.4508939</v>
      </c>
      <c r="E8" s="18">
        <f>E6*E7</f>
        <v>692441412.8660383</v>
      </c>
      <c r="F8" s="18">
        <f>F6*F7</f>
        <v>676493831.5753715</v>
      </c>
    </row>
    <row r="9" spans="1:6" x14ac:dyDescent="0.25">
      <c r="A9" t="s">
        <v>45</v>
      </c>
      <c r="B9" s="18">
        <f>B8*(1-Assumptions!B8)</f>
        <v>631189169.4505888</v>
      </c>
      <c r="C9" s="18">
        <f>C8*(1-Assumptions!B8)</f>
        <v>616652285.3148779</v>
      </c>
      <c r="D9" s="18">
        <f>D8*(1-Assumptions!B8)</f>
        <v>602450199.3832598</v>
      </c>
      <c r="E9" s="18">
        <f>E8*(1-Assumptions!B8)</f>
        <v>588575200.9361326</v>
      </c>
      <c r="F9" s="18">
        <f>F8*(1-Assumptions!B8)</f>
        <v>575019756.8390658</v>
      </c>
    </row>
    <row r="10" spans="1:6" x14ac:dyDescent="0.25">
      <c r="A10" t="s">
        <v>46</v>
      </c>
      <c r="B10" s="18">
        <f>B6*Assumptions!B9</f>
        <v>149345882.57139078</v>
      </c>
      <c r="C10" s="18">
        <f>C6*Assumptions!B9</f>
        <v>145906305.50612593</v>
      </c>
      <c r="D10" s="18">
        <f>D6*Assumptions!B9</f>
        <v>142545945.1570115</v>
      </c>
      <c r="E10" s="18">
        <f>E6*Assumptions!B9</f>
        <v>139262977.08807808</v>
      </c>
      <c r="F10" s="18">
        <f>F6*Assumptions!B9</f>
        <v>136055618.88184375</v>
      </c>
    </row>
    <row r="11" spans="1:6" x14ac:dyDescent="0.25">
      <c r="A11" t="s">
        <v>47</v>
      </c>
      <c r="B11" s="18">
        <f>-B6*Assumptions!B10</f>
        <v>-173870406.00862572</v>
      </c>
      <c r="C11" s="18">
        <f>-C6*Assumptions!B10</f>
        <v>-169866005.95059478</v>
      </c>
      <c r="D11" s="18">
        <f>-D6*Assumptions!B10</f>
        <v>-165953831.01697037</v>
      </c>
      <c r="E11" s="18">
        <f>-E6*Assumptions!B10</f>
        <v>-162131757.17582545</v>
      </c>
      <c r="F11" s="18">
        <f>-F6*Assumptions!B10</f>
        <v>-158397709.3136992</v>
      </c>
    </row>
    <row r="12" spans="1:6" x14ac:dyDescent="0.25">
      <c r="A12" t="s">
        <v>48</v>
      </c>
      <c r="B12" s="18">
        <f>-(B6-Assumptions!B29)*Assumptions!B11</f>
        <v>6929695.568246582</v>
      </c>
      <c r="C12" s="18">
        <f>-(C6-B6)*Assumptions!B11</f>
        <v>6770098.118786136</v>
      </c>
      <c r="D12" s="18">
        <f>-(D6-C6)*Assumptions!B11</f>
        <v>6614176.349681892</v>
      </c>
      <c r="E12" s="18">
        <f>-(E6-D6)*Assumptions!B11</f>
        <v>6461845.6065353</v>
      </c>
      <c r="F12" s="18">
        <f>-(F6-E6)*Assumptions!B11</f>
        <v>6313023.184618877</v>
      </c>
    </row>
    <row r="13" spans="1:6" x14ac:dyDescent="0.25">
      <c r="A13" s="19" t="s">
        <v>49</v>
      </c>
      <c r="B13" s="20">
        <f>B9+B10+B11+B12</f>
        <v>613594341.5816004</v>
      </c>
      <c r="C13" s="20">
        <f>C9+C10+C11+C12</f>
        <v>599462682.9891951</v>
      </c>
      <c r="D13" s="20">
        <f>D9+D10+D11+D12</f>
        <v>585656489.8729827</v>
      </c>
      <c r="E13" s="20">
        <f>E9+E10+E11+E12</f>
        <v>572168266.4549205</v>
      </c>
      <c r="F13" s="20">
        <f>F9+F10+F11+F12</f>
        <v>558990689.5918292</v>
      </c>
    </row>
    <row r="14" spans="1:6" x14ac:dyDescent="0.25">
      <c r="A14" t="s">
        <v>50</v>
      </c>
      <c r="B14" s="21">
        <f>1/(1+Assumptions!$B$26)^(1-0.5*Assumptions!$B$32)</f>
        <v>0.972020279329903</v>
      </c>
      <c r="C14" s="21">
        <f>1/(1+Assumptions!$B$26)^(2-0.5*Assumptions!$B$32)</f>
        <v>0.9183875279584863</v>
      </c>
      <c r="D14" s="21">
        <f>1/(1+Assumptions!$B$26)^(3-0.5*Assumptions!$B$32)</f>
        <v>0.8677140481998503</v>
      </c>
      <c r="E14" s="21">
        <f>1/(1+Assumptions!$B$26)^(4-0.5*Assumptions!$B$32)</f>
        <v>0.8198365575772569</v>
      </c>
      <c r="F14" s="21">
        <f>1/(1+Assumptions!$B$26)^(5-0.5*Assumptions!$B$32)</f>
        <v>0.7746007829820484</v>
      </c>
    </row>
    <row r="15" spans="1:6" x14ac:dyDescent="0.25">
      <c r="A15" s="19" t="s">
        <v>51</v>
      </c>
      <c r="B15" s="20">
        <f>B13*B14</f>
        <v>596426143.2993952</v>
      </c>
      <c r="C15" s="20">
        <f>C13*C14</f>
        <v>550539051.5338087</v>
      </c>
      <c r="D15" s="20">
        <f>D13*D14</f>
        <v>508182363.6822005</v>
      </c>
      <c r="E15" s="20">
        <f>E13*E14</f>
        <v>469084461.92534876</v>
      </c>
      <c r="F15" s="20">
        <f>F13*F14</f>
        <v>432994625.83750606</v>
      </c>
    </row>
    <row r="17" spans="1:2" x14ac:dyDescent="0.25">
      <c r="A17" s="22" t="s">
        <v>52</v>
      </c>
      <c r="B17" s="23">
        <f>SUM(B15:F15)</f>
        <v>2557226646.2782593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558990689.5918292</v>
      </c>
    </row>
    <row r="5" spans="1:2" x14ac:dyDescent="0.25">
      <c r="A5" t="s">
        <v>56</v>
      </c>
      <c r="B5" s="18">
        <f>IF(Assumptions!$B$33=0,B4,B4-Forecast!F11-Forecast!F10-Forecast!F12)</f>
        <v>585947518.0276678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0.10015022546092905</v>
      </c>
    </row>
    <row r="7" spans="1:2" x14ac:dyDescent="0.25">
      <c r="A7" t="s">
        <v>58</v>
      </c>
      <c r="B7" s="18">
        <f>-MAX(Forecast!F9,0)*B6</f>
        <v>-58682776.03874272</v>
      </c>
    </row>
    <row r="8" spans="1:2" x14ac:dyDescent="0.25">
      <c r="A8" t="s">
        <v>59</v>
      </c>
      <c r="B8" s="18">
        <f>IF(OR(Assumptions!$B$33=0,Assumptions!B12&lt;=0),B5,MAX(B5+B7,0))</f>
        <v>527264741.98892504</v>
      </c>
    </row>
    <row r="9" spans="1:2" x14ac:dyDescent="0.25">
      <c r="A9" t="s">
        <v>60</v>
      </c>
      <c r="B9" s="18">
        <f>B8*(1+Assumptions!B12)/(Assumptions!B26-Assumptions!B12)</f>
        <v>16181598631.30259</v>
      </c>
    </row>
    <row r="10" spans="1:2" x14ac:dyDescent="0.25">
      <c r="A10" t="s">
        <v>61</v>
      </c>
      <c r="B10" s="18">
        <f>B9/(1+Assumptions!B26)^(5-0.5*Assumptions!B32)</f>
        <v>12534278969.708227</v>
      </c>
    </row>
    <row r="11" spans="1:2" x14ac:dyDescent="0.25">
      <c r="A11" t="s">
        <v>62</v>
      </c>
      <c r="B11" s="18">
        <f>Forecast!B17+B10</f>
        <v>15091505615.986486</v>
      </c>
    </row>
    <row r="12" spans="1:2" x14ac:dyDescent="0.25">
      <c r="A12" t="s">
        <v>63</v>
      </c>
      <c r="B12" s="18">
        <f>-Assumptions!B30</f>
        <v>-769000000</v>
      </c>
    </row>
    <row r="13" spans="1:2" x14ac:dyDescent="0.25">
      <c r="A13" t="s">
        <v>64</v>
      </c>
      <c r="B13" s="18">
        <f>B11+B12</f>
        <v>14322505615.986486</v>
      </c>
    </row>
    <row r="14" spans="1:2" x14ac:dyDescent="0.25">
      <c r="A14" s="19" t="s">
        <v>65</v>
      </c>
      <c r="B14" s="24">
        <f>B13/Assumptions!B31</f>
        <v>432.1557424412071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812549450.4572153</v>
      </c>
    </row>
    <row r="18" spans="1:2" x14ac:dyDescent="0.25">
      <c r="A18" t="s">
        <v>60</v>
      </c>
      <c r="B18" s="18">
        <f>B17*Assumptions!B13</f>
        <v>15900139481.633669</v>
      </c>
    </row>
    <row r="19" spans="1:2" x14ac:dyDescent="0.25">
      <c r="A19" t="s">
        <v>61</v>
      </c>
      <c r="B19" s="18">
        <f>B18/(1+Assumptions!B26)^(5-0.5*Assumptions!B32)</f>
        <v>12316260491.997221</v>
      </c>
    </row>
    <row r="20" spans="1:2" x14ac:dyDescent="0.25">
      <c r="A20" t="s">
        <v>62</v>
      </c>
      <c r="B20" s="18">
        <f>Forecast!B17+B19</f>
        <v>14873487138.27548</v>
      </c>
    </row>
    <row r="21" spans="1:2" x14ac:dyDescent="0.25">
      <c r="A21" t="s">
        <v>63</v>
      </c>
      <c r="B21" s="18">
        <f>-Assumptions!B30</f>
        <v>-769000000</v>
      </c>
    </row>
    <row r="22" spans="1:2" x14ac:dyDescent="0.25">
      <c r="A22" t="s">
        <v>64</v>
      </c>
      <c r="B22" s="18">
        <f>B20+B21</f>
        <v>14104487138.27548</v>
      </c>
    </row>
    <row r="23" spans="1:2" x14ac:dyDescent="0.25">
      <c r="A23" s="19" t="s">
        <v>65</v>
      </c>
      <c r="B23" s="25">
        <f>B22/Assumptions!B31</f>
        <v>425.5774285883616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432.1557424412071</v>
      </c>
    </row>
    <row r="29" spans="1:2" x14ac:dyDescent="0.25">
      <c r="A29" s="19" t="s">
        <v>73</v>
      </c>
      <c r="B29" s="12">
        <f>B28/B26-1</f>
        <v>-0.19822682292911487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0.038399</v>
      </c>
      <c r="B5" s="31">
        <v>665.917872688081</v>
      </c>
      <c r="C5" s="31">
        <v>818.4967733173079</v>
      </c>
      <c r="D5" s="31">
        <v>1084.7259484463934</v>
      </c>
      <c r="E5" s="31">
        <v>1667.57648004913</v>
      </c>
      <c r="F5" s="31">
        <v>3964.3182554761443</v>
      </c>
    </row>
    <row r="6" spans="1:6" x14ac:dyDescent="0.25">
      <c r="A6" s="30">
        <v>0.048399</v>
      </c>
      <c r="B6" s="31">
        <v>463.9497161560572</v>
      </c>
      <c r="C6" s="31">
        <v>527.9106257971152</v>
      </c>
      <c r="D6" s="31">
        <v>619.0840782084019</v>
      </c>
      <c r="E6" s="31">
        <v>759.655417243031</v>
      </c>
      <c r="F6" s="31">
        <v>1004.9249115292686</v>
      </c>
    </row>
    <row r="7" spans="1:6" x14ac:dyDescent="0.25">
      <c r="A7" s="30">
        <v>0.058399</v>
      </c>
      <c r="B7" s="31">
        <v>355.0005931550757</v>
      </c>
      <c r="C7" s="31">
        <v>388.58962915146117</v>
      </c>
      <c r="D7" s="32">
        <v>432.1534330520913</v>
      </c>
      <c r="E7" s="31">
        <v>490.9605536989559</v>
      </c>
      <c r="F7" s="31">
        <v>574.782765577867</v>
      </c>
    </row>
    <row r="8" spans="1:6" x14ac:dyDescent="0.25">
      <c r="A8" s="30">
        <v>0.068399</v>
      </c>
      <c r="B8" s="31">
        <v>286.8135578237883</v>
      </c>
      <c r="C8" s="31">
        <v>306.7755727261375</v>
      </c>
      <c r="D8" s="31">
        <v>331.2766489177139</v>
      </c>
      <c r="E8" s="31">
        <v>362.08990338954345</v>
      </c>
      <c r="F8" s="31">
        <v>402.05023162364046</v>
      </c>
    </row>
    <row r="9" spans="1:6" x14ac:dyDescent="0.25">
      <c r="A9" s="30">
        <v>0.078399</v>
      </c>
      <c r="B9" s="31">
        <v>240.10177501905702</v>
      </c>
      <c r="C9" s="31">
        <v>252.92914420942608</v>
      </c>
      <c r="D9" s="31">
        <v>268.1114679700371</v>
      </c>
      <c r="E9" s="31">
        <v>286.3786026729976</v>
      </c>
      <c r="F9" s="31">
        <v>308.79675178233305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3162900000</v>
      </c>
      <c r="C5" s="18">
        <v>3085500000</v>
      </c>
      <c r="D5" s="18">
        <v>3083900000</v>
      </c>
      <c r="E5" s="18">
        <v>3391900000</v>
      </c>
      <c r="F5" s="8" t="s">
        <v>84</v>
      </c>
    </row>
    <row r="6" spans="1:6" x14ac:dyDescent="0.25">
      <c r="A6" t="s">
        <v>44</v>
      </c>
      <c r="B6" s="18">
        <v>767200000</v>
      </c>
      <c r="C6" s="18">
        <v>761800000</v>
      </c>
      <c r="D6" s="18">
        <v>768500000</v>
      </c>
      <c r="E6" s="18">
        <v>755000000</v>
      </c>
      <c r="F6" s="8" t="s">
        <v>85</v>
      </c>
    </row>
    <row r="7" spans="1:6" x14ac:dyDescent="0.25">
      <c r="A7" t="s">
        <v>86</v>
      </c>
      <c r="B7" s="18">
        <v>163400000</v>
      </c>
      <c r="C7" s="18">
        <v>149700000</v>
      </c>
      <c r="D7" s="18">
        <v>147600000</v>
      </c>
      <c r="E7" s="18">
        <v>153600000</v>
      </c>
      <c r="F7" s="8" t="s">
        <v>87</v>
      </c>
    </row>
    <row r="8" spans="1:6" x14ac:dyDescent="0.25">
      <c r="A8" t="s">
        <v>88</v>
      </c>
      <c r="B8" s="18">
        <v>164900000</v>
      </c>
      <c r="C8" s="18">
        <v>195300000</v>
      </c>
      <c r="D8" s="18">
        <v>197100000</v>
      </c>
      <c r="E8" s="18">
        <v>155100000</v>
      </c>
      <c r="F8" s="8" t="s">
        <v>89</v>
      </c>
    </row>
    <row r="9" spans="1:6" x14ac:dyDescent="0.25">
      <c r="A9" t="s">
        <v>90</v>
      </c>
      <c r="B9" s="18">
        <v>1000000</v>
      </c>
      <c r="C9" s="18">
        <v>4100000</v>
      </c>
      <c r="D9" s="18">
        <v>-29300000</v>
      </c>
      <c r="E9" s="18">
        <v>82900000</v>
      </c>
      <c r="F9" s="8" t="s">
        <v>91</v>
      </c>
    </row>
    <row r="10" spans="1:6" x14ac:dyDescent="0.25">
      <c r="A10" t="s">
        <v>92</v>
      </c>
      <c r="B10" s="18">
        <v>1354800000</v>
      </c>
      <c r="C10" s="18">
        <v>1373100000</v>
      </c>
      <c r="D10" s="18">
        <v>1321400000</v>
      </c>
      <c r="E10" s="18">
        <v>1029600000</v>
      </c>
      <c r="F10" s="8" t="s">
        <v>93</v>
      </c>
    </row>
    <row r="11" spans="1:6" x14ac:dyDescent="0.25">
      <c r="A11" t="s">
        <v>94</v>
      </c>
      <c r="B11" s="18">
        <v>585800000</v>
      </c>
      <c r="C11" s="18">
        <v>407700000</v>
      </c>
      <c r="D11" s="18">
        <v>356800000</v>
      </c>
      <c r="E11" s="18">
        <v>205700000</v>
      </c>
      <c r="F11" s="8" t="s">
        <v>95</v>
      </c>
    </row>
    <row r="12" spans="1:6" x14ac:dyDescent="0.25">
      <c r="A12" t="s">
        <v>32</v>
      </c>
      <c r="B12" s="34">
        <v>33142000</v>
      </c>
      <c r="C12" s="34">
        <v>33179000</v>
      </c>
      <c r="D12" s="34">
        <v>33629000</v>
      </c>
      <c r="E12" s="34">
        <v>34607000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