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<sst xmlns="http://schemas.openxmlformats.org/spreadsheetml/2006/main" count="111" uniqueCount="99">
  <si>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GE HealthCare Technologies Inc. (GEHC)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</si>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</sst>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0.039896976391051275</v>
      </c>
    </row>
    <row r="7" spans="1:2" x14ac:dyDescent="0.25">
      <c r="A7" t="s">
        <v>5</v>
      </c>
      <c r="B7" s="6">
        <v>0.13234984098434466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0.03080486668416231</v>
      </c>
    </row>
    <row r="10" spans="1:2" x14ac:dyDescent="0.25">
      <c r="A10" t="s">
        <v>8</v>
      </c>
      <c r="B10" s="6">
        <v>0.020112348461069605</v>
      </c>
    </row>
    <row r="11" spans="1:2" x14ac:dyDescent="0.25">
      <c r="A11" t="s">
        <v>9</v>
      </c>
      <c r="B11" s="6">
        <v>0.16054564533053514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10.460370529341317</v>
      </c>
    </row>
    <row r="14" spans="1:3" x14ac:dyDescent="0.25">
      <c r="A14" t="s">
        <v>12</v>
      </c>
      <c r="B14" s="6">
        <v>0.11461107270265913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0.8800699999999999</v>
      </c>
      <c r="C19" s="8" t="s">
        <v>19</v>
      </c>
    </row>
    <row r="20" spans="1:2" x14ac:dyDescent="0.25">
      <c r="A20" t="s">
        <v>20</v>
      </c>
      <c r="B20" s="10">
        <f>B17+B19*B18</f>
        <v>0.09838385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28966637568</v>
      </c>
    </row>
    <row r="23" spans="1:2" x14ac:dyDescent="0.25">
      <c r="A23" t="s">
        <v>24</v>
      </c>
      <c r="B23" s="11">
        <v>10463000000</v>
      </c>
    </row>
    <row r="24" spans="1:2" x14ac:dyDescent="0.25">
      <c r="A24" t="s">
        <v>25</v>
      </c>
      <c r="B24" s="10">
        <f>B22/(B22+B23)</f>
        <v>0.734641233210536</v>
      </c>
    </row>
    <row r="25" spans="1:2" x14ac:dyDescent="0.25">
      <c r="A25" t="s">
        <v>26</v>
      </c>
      <c r="B25" s="10">
        <f>1-B24</f>
        <v>0.265358766789464</v>
      </c>
    </row>
    <row r="26" spans="1:2" x14ac:dyDescent="0.25">
      <c r="A26" t="s">
        <v>27</v>
      </c>
      <c r="B26" s="12">
        <f>B24*B20+B25*B21*(1-B8)</f>
        <v>0.08275431151166894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20625000000</v>
      </c>
      <c r="C29" s="8" t="s">
        <v>30</v>
      </c>
    </row>
    <row r="30" spans="1:2" x14ac:dyDescent="0.25">
      <c r="A30" t="s">
        <v>31</v>
      </c>
      <c r="B30" s="11">
        <v>5971000000</v>
      </c>
    </row>
    <row r="31" spans="1:2" x14ac:dyDescent="0.25">
      <c r="A31" t="s">
        <v>32</v>
      </c>
      <c r="B31" s="13">
        <v>458000000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0.039896976391051275</v>
      </c>
      <c r="C5" s="10">
        <f>Assumptions!B6</f>
        <v>0.039896976391051275</v>
      </c>
      <c r="D5" s="10">
        <f>Assumptions!B6</f>
        <v>0.039896976391051275</v>
      </c>
      <c r="E5" s="10">
        <f>Assumptions!B6</f>
        <v>0.039896976391051275</v>
      </c>
      <c r="F5" s="10">
        <f>Assumptions!B6</f>
        <v>0.039896976391051275</v>
      </c>
    </row>
    <row r="6" spans="1:6" x14ac:dyDescent="0.25">
      <c r="A6" t="s">
        <v>43</v>
      </c>
      <c r="B6" s="18">
        <f>Assumptions!B29*(1+B5)</f>
        <v>21447875138.065434</v>
      </c>
      <c r="C6" s="18">
        <f>B6*(1+C5)</f>
        <v>22303580506.087048</v>
      </c>
      <c r="D6" s="18">
        <f>C6*(1+D5)</f>
        <v>23193425930.974316</v>
      </c>
      <c r="E6" s="18">
        <f>D6*(1+E5)</f>
        <v>24118773497.769993</v>
      </c>
      <c r="F6" s="18">
        <f>E6*(1+F5)</f>
        <v>25081039634.591637</v>
      </c>
    </row>
    <row r="7" spans="1:6" x14ac:dyDescent="0.25">
      <c r="A7" t="s">
        <v>5</v>
      </c>
      <c r="B7" s="10">
        <f>Assumptions!B7</f>
        <v>0.13234984098434466</v>
      </c>
      <c r="C7" s="10">
        <f>Assumptions!B7</f>
        <v>0.13234984098434466</v>
      </c>
      <c r="D7" s="10">
        <f>Assumptions!B7</f>
        <v>0.13234984098434466</v>
      </c>
      <c r="E7" s="10">
        <f>Assumptions!B7</f>
        <v>0.13234984098434466</v>
      </c>
      <c r="F7" s="10">
        <f>Assumptions!B7</f>
        <v>0.13234984098434466</v>
      </c>
    </row>
    <row r="8" spans="1:6" x14ac:dyDescent="0.25">
      <c r="A8" t="s">
        <v>44</v>
      </c>
      <c r="B8" s="18">
        <f>B6*B7</f>
        <v>2838622863.9750395</v>
      </c>
      <c r="C8" s="18">
        <f>C6*C7</f>
        <v>2951875333.36215</v>
      </c>
      <c r="D8" s="18">
        <f>D6*D7</f>
        <v>3069646233.8466268</v>
      </c>
      <c r="E8" s="18">
        <f>E6*E7</f>
        <v>3192115837.167285</v>
      </c>
      <c r="F8" s="18">
        <f>F6*F7</f>
        <v>3319471607.360249</v>
      </c>
    </row>
    <row r="9" spans="1:6" x14ac:dyDescent="0.25">
      <c r="A9" t="s">
        <v>45</v>
      </c>
      <c r="B9" s="18">
        <f>B8*(1-Assumptions!B8)</f>
        <v>2242512062.5402813</v>
      </c>
      <c r="C9" s="18">
        <f>C8*(1-Assumptions!B8)</f>
        <v>2331981513.3560987</v>
      </c>
      <c r="D9" s="18">
        <f>D8*(1-Assumptions!B8)</f>
        <v>2425020524.7388353</v>
      </c>
      <c r="E9" s="18">
        <f>E8*(1-Assumptions!B8)</f>
        <v>2521771511.3621554</v>
      </c>
      <c r="F9" s="18">
        <f>F8*(1-Assumptions!B8)</f>
        <v>2622382569.8145967</v>
      </c>
    </row>
    <row r="10" spans="1:6" x14ac:dyDescent="0.25">
      <c r="A10" t="s">
        <v>46</v>
      </c>
      <c r="B10" s="18">
        <f>B6*Assumptions!B9</f>
        <v>660698934.286665</v>
      </c>
      <c r="C10" s="18">
        <f>C6*Assumptions!B9</f>
        <v>687058824.0694928</v>
      </c>
      <c r="D10" s="18">
        <f>D6*Assumptions!B9</f>
        <v>714470393.7526569</v>
      </c>
      <c r="E10" s="18">
        <f>E6*Assumptions!B9</f>
        <v>742975602.1843117</v>
      </c>
      <c r="F10" s="18">
        <f>F6*Assumptions!B9</f>
        <v>772618082.2437863</v>
      </c>
    </row>
    <row r="11" spans="1:6" x14ac:dyDescent="0.25">
      <c r="A11" t="s">
        <v>47</v>
      </c>
      <c r="B11" s="18">
        <f>-B6*Assumptions!B10</f>
        <v>-431367138.5262834</v>
      </c>
      <c r="C11" s="18">
        <f>-C6*Assumptions!B10</f>
        <v>-448577383.06794184</v>
      </c>
      <c r="D11" s="18">
        <f>-D6*Assumptions!B10</f>
        <v>-466474264.3297631</v>
      </c>
      <c r="E11" s="18">
        <f>-E6*Assumptions!B10</f>
        <v>-485085177.0407607</v>
      </c>
      <c r="F11" s="18">
        <f>-F6*Assumptions!B10</f>
        <v>-504438608.89680487</v>
      </c>
    </row>
    <row r="12" spans="1:6" x14ac:dyDescent="0.25">
      <c r="A12" t="s">
        <v>48</v>
      </c>
      <c r="B12" s="18">
        <f>-(B6-Assumptions!B29)*Assumptions!B11</f>
        <v>-132109020.06716822</v>
      </c>
      <c r="C12" s="18">
        <f>-(C6-B6)*Assumptions!B11</f>
        <v>-137379770.5218331</v>
      </c>
      <c r="D12" s="18">
        <f>-(D6-C6)*Assumptions!B11</f>
        <v>-142860807.9829507</v>
      </c>
      <c r="E12" s="18">
        <f>-(E6-D6)*Assumptions!B11</f>
        <v>-148560522.26625246</v>
      </c>
      <c r="F12" s="18">
        <f>-(F6-E6)*Assumptions!B11</f>
        <v>-154487637.91575184</v>
      </c>
    </row>
    <row r="13" spans="1:6" x14ac:dyDescent="0.25">
      <c r="A13" s="19" t="s">
        <v>49</v>
      </c>
      <c r="B13" s="20">
        <f>B9+B10+B11+B12</f>
        <v>2339734838.2334948</v>
      </c>
      <c r="C13" s="20">
        <f>C9+C10+C11+C12</f>
        <v>2433083183.835817</v>
      </c>
      <c r="D13" s="20">
        <f>D9+D10+D11+D12</f>
        <v>2530155846.1787786</v>
      </c>
      <c r="E13" s="20">
        <f>E9+E10+E11+E12</f>
        <v>2631101414.2394543</v>
      </c>
      <c r="F13" s="20">
        <f>F9+F10+F11+F12</f>
        <v>2736074405.2458262</v>
      </c>
    </row>
    <row r="14" spans="1:6" x14ac:dyDescent="0.25">
      <c r="A14" t="s">
        <v>50</v>
      </c>
      <c r="B14" s="21">
        <f>1/(1+Assumptions!$B$26)^(1-0.5*Assumptions!$B$32)</f>
        <v>0.9610257824949202</v>
      </c>
      <c r="C14" s="21">
        <f>1/(1+Assumptions!$B$26)^(2-0.5*Assumptions!$B$32)</f>
        <v>0.887575114942928</v>
      </c>
      <c r="D14" s="21">
        <f>1/(1+Assumptions!$B$26)^(3-0.5*Assumptions!$B$32)</f>
        <v>0.8197382411747269</v>
      </c>
      <c r="E14" s="21">
        <f>1/(1+Assumptions!$B$26)^(4-0.5*Assumptions!$B$32)</f>
        <v>0.7570861020449445</v>
      </c>
      <c r="F14" s="21">
        <f>1/(1+Assumptions!$B$26)^(5-0.5*Assumptions!$B$32)</f>
        <v>0.6992224311607236</v>
      </c>
    </row>
    <row r="15" spans="1:6" x14ac:dyDescent="0.25">
      <c r="A15" s="19" t="s">
        <v>51</v>
      </c>
      <c r="B15" s="20">
        <f>B13*B14</f>
        <v>2248545503.74397</v>
      </c>
      <c r="C15" s="20">
        <f>C13*C14</f>
        <v>2159544086.55878</v>
      </c>
      <c r="D15" s="20">
        <f>D13*D14</f>
        <v>2074065503.244545</v>
      </c>
      <c r="E15" s="20">
        <f>E13*E14</f>
        <v>1991970313.7914894</v>
      </c>
      <c r="F15" s="20">
        <f>F13*F14</f>
        <v>1913124597.4726174</v>
      </c>
    </row>
    <row r="17" spans="1:2" x14ac:dyDescent="0.25">
      <c r="A17" s="22" t="s">
        <v>52</v>
      </c>
      <c r="B17" s="23">
        <f>SUM(B15:F15)</f>
        <v>10387250004.811401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2736074405.2458262</v>
      </c>
    </row>
    <row r="5" spans="1:2" x14ac:dyDescent="0.25">
      <c r="A5" t="s">
        <v>56</v>
      </c>
      <c r="B5" s="18">
        <f>IF(Assumptions!$B$33=0,B4,B4-Forecast!F11-Forecast!F10-Forecast!F12)</f>
        <v>2971929652.954939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0.21812901153851574</v>
      </c>
    </row>
    <row r="7" spans="1:2" x14ac:dyDescent="0.25">
      <c r="A7" t="s">
        <v>58</v>
      </c>
      <c r="B7" s="18">
        <f>-MAX(Forecast!F9,0)*B6</f>
        <v>-648264077.561065</v>
      </c>
    </row>
    <row r="8" spans="1:2" x14ac:dyDescent="0.25">
      <c r="A8" t="s">
        <v>59</v>
      </c>
      <c r="B8" s="18">
        <f>IF(OR(Assumptions!$B$33=0,Assumptions!B12&lt;=0),B5,MAX(B5+B7,0))</f>
        <v>2323665575.393874</v>
      </c>
    </row>
    <row r="9" spans="1:2" x14ac:dyDescent="0.25">
      <c r="A9" t="s">
        <v>60</v>
      </c>
      <c r="B9" s="18">
        <f>B8*(1+Assumptions!B12)/(Assumptions!B26-Assumptions!B12)</f>
        <v>41239470308.59332</v>
      </c>
    </row>
    <row r="10" spans="1:2" x14ac:dyDescent="0.25">
      <c r="A10" t="s">
        <v>61</v>
      </c>
      <c r="B10" s="18">
        <f>B9/(1+Assumptions!B26)^(5-0.5*Assumptions!B32)</f>
        <v>28835562688.955097</v>
      </c>
    </row>
    <row r="11" spans="1:2" x14ac:dyDescent="0.25">
      <c r="A11" t="s">
        <v>62</v>
      </c>
      <c r="B11" s="18">
        <f>Forecast!B17+B10</f>
        <v>39222812693.766495</v>
      </c>
    </row>
    <row r="12" spans="1:2" x14ac:dyDescent="0.25">
      <c r="A12" t="s">
        <v>63</v>
      </c>
      <c r="B12" s="18">
        <f>-Assumptions!B30</f>
        <v>-5971000000</v>
      </c>
    </row>
    <row r="13" spans="1:2" x14ac:dyDescent="0.25">
      <c r="A13" t="s">
        <v>64</v>
      </c>
      <c r="B13" s="18">
        <f>B11+B12</f>
        <v>33251812693.766495</v>
      </c>
    </row>
    <row r="14" spans="1:2" x14ac:dyDescent="0.25">
      <c r="A14" s="19" t="s">
        <v>65</v>
      </c>
      <c r="B14" s="24">
        <f>B13/Assumptions!B31</f>
        <v>72.6022111217609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4092089689.6040354</v>
      </c>
    </row>
    <row r="18" spans="1:2" x14ac:dyDescent="0.25">
      <c r="A18" t="s">
        <v>60</v>
      </c>
      <c r="B18" s="18">
        <f>B17*Assumptions!B13</f>
        <v>42804774392.55551</v>
      </c>
    </row>
    <row r="19" spans="1:2" x14ac:dyDescent="0.25">
      <c r="A19" t="s">
        <v>61</v>
      </c>
      <c r="B19" s="18">
        <f>B18/(1+Assumptions!B26)^(5-0.5*Assumptions!B32)</f>
        <v>29930058416.04895</v>
      </c>
    </row>
    <row r="20" spans="1:2" x14ac:dyDescent="0.25">
      <c r="A20" t="s">
        <v>62</v>
      </c>
      <c r="B20" s="18">
        <f>Forecast!B17+B19</f>
        <v>40317308420.86035</v>
      </c>
    </row>
    <row r="21" spans="1:2" x14ac:dyDescent="0.25">
      <c r="A21" t="s">
        <v>63</v>
      </c>
      <c r="B21" s="18">
        <f>-Assumptions!B30</f>
        <v>-5971000000</v>
      </c>
    </row>
    <row r="22" spans="1:2" x14ac:dyDescent="0.25">
      <c r="A22" t="s">
        <v>64</v>
      </c>
      <c r="B22" s="18">
        <f>B20+B21</f>
        <v>34346308420.86035</v>
      </c>
    </row>
    <row r="23" spans="1:2" x14ac:dyDescent="0.25">
      <c r="A23" s="19" t="s">
        <v>65</v>
      </c>
      <c r="B23" s="25">
        <f>B22/Assumptions!B31</f>
        <v>74.99193978353789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72.6022111217609</v>
      </c>
    </row>
    <row r="29" spans="1:2" x14ac:dyDescent="0.25">
      <c r="A29" s="19" t="s">
        <v>73</v>
      </c>
      <c r="B29" s="12">
        <f>B28/B26-1</f>
        <v>0.13210995044068152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0.062754</v>
      </c>
      <c r="B5" s="31">
        <v>101.84844466168934</v>
      </c>
      <c r="C5" s="31">
        <v>107.87433916643332</v>
      </c>
      <c r="D5" s="31">
        <v>115.43931076080891</v>
      </c>
      <c r="E5" s="31">
        <v>125.24819416254446</v>
      </c>
      <c r="F5" s="31">
        <v>138.5137398620343</v>
      </c>
    </row>
    <row r="6" spans="1:6" x14ac:dyDescent="0.25">
      <c r="A6" s="30">
        <v>0.072754</v>
      </c>
      <c r="B6" s="31">
        <v>82.41758334481393</v>
      </c>
      <c r="C6" s="31">
        <v>85.66552933701222</v>
      </c>
      <c r="D6" s="31">
        <v>89.55039932215293</v>
      </c>
      <c r="E6" s="31">
        <v>94.29565449437324</v>
      </c>
      <c r="F6" s="31">
        <v>100.24313354112859</v>
      </c>
    </row>
    <row r="7" spans="1:6" x14ac:dyDescent="0.25">
      <c r="A7" s="30">
        <v>0.082754</v>
      </c>
      <c r="B7" s="31">
        <v>68.717125764354</v>
      </c>
      <c r="C7" s="31">
        <v>70.52086613475831</v>
      </c>
      <c r="D7" s="32">
        <v>72.60264800999367</v>
      </c>
      <c r="E7" s="31">
        <v>75.04152933016825</v>
      </c>
      <c r="F7" s="31">
        <v>77.94967853507953</v>
      </c>
    </row>
    <row r="8" spans="1:6" x14ac:dyDescent="0.25">
      <c r="A8" s="30">
        <v>0.092754</v>
      </c>
      <c r="B8" s="31">
        <v>58.5363560282465</v>
      </c>
      <c r="C8" s="31">
        <v>59.52813730668859</v>
      </c>
      <c r="D8" s="31">
        <v>60.63826783189857</v>
      </c>
      <c r="E8" s="31">
        <v>61.89503645720085</v>
      </c>
      <c r="F8" s="31">
        <v>63.336528362866666</v>
      </c>
    </row>
    <row r="9" spans="1:6" x14ac:dyDescent="0.25">
      <c r="A9" s="30">
        <v>0.102754</v>
      </c>
      <c r="B9" s="31">
        <v>50.67222960297919</v>
      </c>
      <c r="C9" s="31">
        <v>51.18273779633675</v>
      </c>
      <c r="D9" s="31">
        <v>51.73545839058802</v>
      </c>
      <c r="E9" s="31">
        <v>52.33909449502465</v>
      </c>
      <c r="F9" s="31">
        <v>53.00491825081592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20625000000</v>
      </c>
      <c r="C5" s="18">
        <v>19672000000</v>
      </c>
      <c r="D5" s="18">
        <v>19552000000</v>
      </c>
      <c r="E5" s="18">
        <v>18341000000</v>
      </c>
      <c r="F5" s="8" t="s">
        <v>84</v>
      </c>
    </row>
    <row r="6" spans="1:6" x14ac:dyDescent="0.25">
      <c r="A6" t="s">
        <v>44</v>
      </c>
      <c r="B6" s="18">
        <v>2762000000</v>
      </c>
      <c r="C6" s="18">
        <v>2625000000</v>
      </c>
      <c r="D6" s="18">
        <v>2435000000</v>
      </c>
      <c r="E6" s="18">
        <v>2522000000</v>
      </c>
      <c r="F6" s="8" t="s">
        <v>85</v>
      </c>
    </row>
    <row r="7" spans="1:6" x14ac:dyDescent="0.25">
      <c r="A7" t="s">
        <v>86</v>
      </c>
      <c r="B7" s="18">
        <v>578000000</v>
      </c>
      <c r="C7" s="18">
        <v>580000000</v>
      </c>
      <c r="D7" s="18">
        <v>610000000</v>
      </c>
      <c r="E7" s="18">
        <v>633000000</v>
      </c>
      <c r="F7" s="8" t="s">
        <v>87</v>
      </c>
    </row>
    <row r="8" spans="1:6" x14ac:dyDescent="0.25">
      <c r="A8" t="s">
        <v>88</v>
      </c>
      <c r="B8" s="18">
        <v>482000000</v>
      </c>
      <c r="C8" s="18">
        <v>401000000</v>
      </c>
      <c r="D8" s="18">
        <v>387000000</v>
      </c>
      <c r="E8" s="18">
        <v>310000000</v>
      </c>
      <c r="F8" s="8" t="s">
        <v>89</v>
      </c>
    </row>
    <row r="9" spans="1:6" x14ac:dyDescent="0.25">
      <c r="A9" t="s">
        <v>90</v>
      </c>
      <c r="B9" s="18">
        <v>153000000</v>
      </c>
      <c r="C9" s="18">
        <v>68000000</v>
      </c>
      <c r="D9" s="18">
        <v>-27000000</v>
      </c>
      <c r="E9" s="18">
        <v>293000000</v>
      </c>
      <c r="F9" s="8" t="s">
        <v>91</v>
      </c>
    </row>
    <row r="10" spans="1:6" x14ac:dyDescent="0.25">
      <c r="A10" t="s">
        <v>92</v>
      </c>
      <c r="B10" s="18">
        <v>10463000000</v>
      </c>
      <c r="C10" s="18">
        <v>9376000000</v>
      </c>
      <c r="D10" s="18">
        <v>9863000000</v>
      </c>
      <c r="E10" s="18">
        <v>8635000000</v>
      </c>
      <c r="F10" s="8" t="s">
        <v>93</v>
      </c>
    </row>
    <row r="11" spans="1:6" x14ac:dyDescent="0.25">
      <c r="A11" t="s">
        <v>94</v>
      </c>
      <c r="B11" s="18">
        <v>4492000000</v>
      </c>
      <c r="C11" s="18">
        <v>2874000000</v>
      </c>
      <c r="D11" s="18">
        <v>2494000000</v>
      </c>
      <c r="E11" s="18">
        <v>1440000000</v>
      </c>
      <c r="F11" s="8" t="s">
        <v>95</v>
      </c>
    </row>
    <row r="12" spans="1:6" x14ac:dyDescent="0.25">
      <c r="A12" t="s">
        <v>32</v>
      </c>
      <c r="B12" s="34">
        <v>458000000</v>
      </c>
      <c r="C12" s="34">
        <v>459000000</v>
      </c>
      <c r="D12" s="34">
        <v>458000000</v>
      </c>
      <c r="E12" s="34">
        <v>413822894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