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<sst xmlns="http://schemas.openxmlformats.org/spreadsheetml/2006/main" count="119" uniqueCount="106">
  <si>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GE HealthCare Technologies Inc. (GEHC)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</si>
  <si>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</si>
  <si>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</si>
  <si>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</si>
  <si>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</si>
  <si>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</si>
  <si>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</si>
  <si>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</si>
  <si>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</si>
  <si>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</si>
  <si>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</si>
  <si>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</si>
  <si>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</si>
  <si>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</si>
  <si>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</si>
  <si>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</si>
  <si>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</si>
  <si>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</si>
  <si>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</si>
  <si>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</si>
  <si>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</si>
  <si>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</si>
  <si>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</si>
  <si>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</si>
  <si>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6.3x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</si>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</sst>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0.06005728727272719</v>
      </c>
    </row>
    <row r="7" spans="1:2" x14ac:dyDescent="0.25">
      <c r="A7" t="s">
        <v>4</v>
      </c>
      <c r="B7" s="5">
        <v>0.13234984098434466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0.03080486668416231</v>
      </c>
    </row>
    <row r="10" spans="1:3" x14ac:dyDescent="0.25">
      <c r="A10" t="s">
        <v>7</v>
      </c>
      <c r="B10" s="5">
        <v>0.020112348461069605</v>
      </c>
      <c r="C10" s="6" t="s">
        <v>8</v>
      </c>
    </row>
    <row r="11" spans="1:2" x14ac:dyDescent="0.25">
      <c r="A11" t="s">
        <v>9</v>
      </c>
      <c r="B11" s="5">
        <v>0.12347536231909922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12.15305234011976</v>
      </c>
    </row>
    <row r="14" spans="1:3" x14ac:dyDescent="0.25">
      <c r="A14" t="s">
        <v>12</v>
      </c>
      <c r="B14" s="5">
        <v>0.11461107270265913</v>
      </c>
      <c r="C14" s="6" t="s">
        <v>13</v>
      </c>
    </row>
    <row r="15" spans="1:3" x14ac:dyDescent="0.25">
      <c r="A15" t="s">
        <v>14</v>
      </c>
      <c r="B15" s="5">
        <v>0.013163466301671017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0.89816</v>
      </c>
      <c r="C19" s="6" t="s">
        <v>21</v>
      </c>
    </row>
    <row r="20" spans="1:2" x14ac:dyDescent="0.25">
      <c r="A20" t="s">
        <v>22</v>
      </c>
      <c r="B20" s="9">
        <f>B17+B19*B18</f>
        <v>0.086932168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34620194816</v>
      </c>
    </row>
    <row r="23" spans="1:2" x14ac:dyDescent="0.25">
      <c r="A23" t="s">
        <v>26</v>
      </c>
      <c r="B23" s="10">
        <v>10463000000</v>
      </c>
    </row>
    <row r="24" spans="1:2" x14ac:dyDescent="0.25">
      <c r="A24" t="s">
        <v>27</v>
      </c>
      <c r="B24" s="9">
        <f>B22/(B22+B23)</f>
        <v>0.7679179560653788</v>
      </c>
    </row>
    <row r="25" spans="1:2" x14ac:dyDescent="0.25">
      <c r="A25" t="s">
        <v>28</v>
      </c>
      <c r="B25" s="9">
        <f>1-B24</f>
        <v>0.23208204393462117</v>
      </c>
    </row>
    <row r="26" spans="1:2" x14ac:dyDescent="0.25">
      <c r="A26" t="s">
        <v>29</v>
      </c>
      <c r="B26" s="11">
        <f>B24*B20+B25*B21*(1-B8)</f>
        <v>0.07701308170167728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20625000000</v>
      </c>
      <c r="C29" s="6" t="s">
        <v>32</v>
      </c>
    </row>
    <row r="30" spans="1:2" x14ac:dyDescent="0.25">
      <c r="A30" t="s">
        <v>33</v>
      </c>
      <c r="B30" s="10">
        <v>5971000000</v>
      </c>
    </row>
    <row r="31" spans="1:2" x14ac:dyDescent="0.25">
      <c r="A31" t="s">
        <v>34</v>
      </c>
      <c r="B31" s="12">
        <v>458000000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0.06005728727272719</v>
      </c>
      <c r="C5" s="5">
        <v>0.047500282952117834</v>
      </c>
      <c r="D5" s="5">
        <v>0.04468774758310311</v>
      </c>
      <c r="E5" s="5">
        <v>0.041875212214088374</v>
      </c>
      <c r="F5" s="5">
        <v>0.03906267684507365</v>
      </c>
      <c r="G5" s="5">
        <v>0.036250141476058914</v>
      </c>
      <c r="H5" s="5">
        <v>0.03343760610704419</v>
      </c>
      <c r="I5" s="5">
        <v>0.03062507073802946</v>
      </c>
      <c r="J5" s="5">
        <v>0.02781253536901473</v>
      </c>
      <c r="K5" s="5">
        <v>0.025</v>
      </c>
    </row>
    <row r="6" spans="1:11" x14ac:dyDescent="0.25">
      <c r="A6" t="s">
        <v>50</v>
      </c>
      <c r="B6" s="18">
        <f>Assumptions!B29*(1+B5)</f>
        <v>21863681550</v>
      </c>
      <c r="C6" s="18">
        <f>B6*(1+C5)</f>
        <v>22902212610</v>
      </c>
      <c r="D6" s="18">
        <f>C6*(1+D5)</f>
        <v>23925660906.210243</v>
      </c>
      <c r="E6" s="18">
        <f>D6*(1+E5)</f>
        <v>24927553034.020115</v>
      </c>
      <c r="F6" s="18">
        <f>E6*(1+F5)</f>
        <v>25901289982.72648</v>
      </c>
      <c r="G6" s="18">
        <f>F6*(1+G5)</f>
        <v>26840215409.01274</v>
      </c>
      <c r="H6" s="18">
        <f>G6*(1+H5)</f>
        <v>27737687959.68753</v>
      </c>
      <c r="I6" s="18">
        <f>H6*(1+I5)</f>
        <v>28587156615.56235</v>
      </c>
      <c r="J6" s="18">
        <f>I6*(1+J5)</f>
        <v>29382237920.032238</v>
      </c>
      <c r="K6" s="18">
        <f>J6*(1+K5)</f>
        <v>30116793868.033043</v>
      </c>
    </row>
    <row r="7" spans="1:11" x14ac:dyDescent="0.25">
      <c r="A7" t="s">
        <v>4</v>
      </c>
      <c r="B7" s="9">
        <f>Assumptions!B7</f>
        <v>0.13234984098434466</v>
      </c>
      <c r="C7" s="9">
        <f>Assumptions!B7</f>
        <v>0.13234984098434466</v>
      </c>
      <c r="D7" s="9">
        <f>Assumptions!B7</f>
        <v>0.13234984098434466</v>
      </c>
      <c r="E7" s="9">
        <f>Assumptions!B7</f>
        <v>0.13234984098434466</v>
      </c>
      <c r="F7" s="9">
        <f>Assumptions!B7</f>
        <v>0.13234984098434466</v>
      </c>
      <c r="G7" s="9">
        <f>Assumptions!B7</f>
        <v>0.13234984098434466</v>
      </c>
      <c r="H7" s="9">
        <f>Assumptions!B7</f>
        <v>0.13234984098434466</v>
      </c>
      <c r="I7" s="9">
        <f>Assumptions!B7</f>
        <v>0.13234984098434466</v>
      </c>
      <c r="J7" s="9">
        <f>Assumptions!B7</f>
        <v>0.13234984098434466</v>
      </c>
      <c r="K7" s="9">
        <f>Assumptions!B7</f>
        <v>0.13234984098434466</v>
      </c>
    </row>
    <row r="8" spans="1:11" x14ac:dyDescent="0.25">
      <c r="A8" t="s">
        <v>51</v>
      </c>
      <c r="B8" s="18">
        <f>B6*B7</f>
        <v>2893654776.47485</v>
      </c>
      <c r="C8" s="18">
        <f>C6*C7</f>
        <v>3031104197.123153</v>
      </c>
      <c r="D8" s="18">
        <f>D6*D7</f>
        <v>3166557416.382277</v>
      </c>
      <c r="E8" s="18">
        <f>E6*E7</f>
        <v>3299157680.1813803</v>
      </c>
      <c r="F8" s="18">
        <f>F6*F7</f>
        <v>3428031610.5032487</v>
      </c>
      <c r="G8" s="18">
        <f>G6*G7</f>
        <v>3552298241.3683934</v>
      </c>
      <c r="H8" s="18">
        <f>H6*H7</f>
        <v>3671078590.738016</v>
      </c>
      <c r="I8" s="18">
        <f>I6*I7</f>
        <v>3783505632.2642336</v>
      </c>
      <c r="J8" s="18">
        <f>J6*J7</f>
        <v>3888734516.4804482</v>
      </c>
      <c r="K8" s="18">
        <f>K6*K7</f>
        <v>3985952879.3924594</v>
      </c>
    </row>
    <row r="9" spans="1:11" x14ac:dyDescent="0.25">
      <c r="A9" t="s">
        <v>52</v>
      </c>
      <c r="B9" s="18">
        <f>B8*(1-Assumptions!B8)</f>
        <v>2285987273.4151316</v>
      </c>
      <c r="C9" s="18">
        <f>C8*(1-Assumptions!B8)</f>
        <v>2394572315.727291</v>
      </c>
      <c r="D9" s="18">
        <f>D8*(1-Assumptions!B8)</f>
        <v>2501580358.941999</v>
      </c>
      <c r="E9" s="18">
        <f>E8*(1-Assumptions!B8)</f>
        <v>2606334567.3432903</v>
      </c>
      <c r="F9" s="18">
        <f>F8*(1-Assumptions!B8)</f>
        <v>2708144972.2975664</v>
      </c>
      <c r="G9" s="18">
        <f>G8*(1-Assumptions!B8)</f>
        <v>2806315610.6810308</v>
      </c>
      <c r="H9" s="18">
        <f>H8*(1-Assumptions!B8)</f>
        <v>2900152086.683033</v>
      </c>
      <c r="I9" s="18">
        <f>I8*(1-Assumptions!B8)</f>
        <v>2988969449.4887447</v>
      </c>
      <c r="J9" s="18">
        <f>J8*(1-Assumptions!B8)</f>
        <v>3072100268.019554</v>
      </c>
      <c r="K9" s="18">
        <f>K8*(1-Assumptions!B8)</f>
        <v>3148902774.720043</v>
      </c>
    </row>
    <row r="10" spans="1:11" x14ac:dyDescent="0.25">
      <c r="A10" t="s">
        <v>53</v>
      </c>
      <c r="B10" s="18">
        <f>B6*Assumptions!B9</f>
        <v>673507795.3727292</v>
      </c>
      <c r="C10" s="18">
        <f>C6*Assumptions!B9</f>
        <v>705499606.2233909</v>
      </c>
      <c r="D10" s="18">
        <f>D6*Assumptions!B9</f>
        <v>737026794.5462805</v>
      </c>
      <c r="E10" s="18">
        <f>E6*Assumptions!B9</f>
        <v>767889947.9753754</v>
      </c>
      <c r="F10" s="18">
        <f>F6*Assumptions!B9</f>
        <v>797885784.8657179</v>
      </c>
      <c r="G10" s="18">
        <f>G6*Assumptions!B9</f>
        <v>826809257.4488364</v>
      </c>
      <c r="H10" s="18">
        <f>H6*Assumptions!B9</f>
        <v>854455779.7250684</v>
      </c>
      <c r="I10" s="18">
        <f>I6*Assumptions!B9</f>
        <v>880623548.4216669</v>
      </c>
      <c r="J10" s="18">
        <f>J6*Assumptions!B9</f>
        <v>905115922.0089316</v>
      </c>
      <c r="K10" s="18">
        <f>K6*Assumptions!B9</f>
        <v>927743820.0591549</v>
      </c>
    </row>
    <row r="11" spans="1:11" x14ac:dyDescent="0.25">
      <c r="A11" t="s">
        <v>54</v>
      </c>
      <c r="B11" s="18">
        <f>-B6*B19</f>
        <v>-439729981.9754584</v>
      </c>
      <c r="C11" s="18">
        <f>-C6*C19</f>
        <v>-508706574.0210818</v>
      </c>
      <c r="D11" s="18">
        <f>-D6*D19</f>
        <v>-581677820.6825113</v>
      </c>
      <c r="E11" s="18">
        <f>-E6*E19</f>
        <v>-658377737.8447272</v>
      </c>
      <c r="F11" s="18">
        <f>-F6*F19</f>
        <v>-738482389.6389264</v>
      </c>
      <c r="G11" s="18">
        <f>-G6*G19</f>
        <v>-821610659.657086</v>
      </c>
      <c r="H11" s="18">
        <f>-H6*H19</f>
        <v>-907326014.771728</v>
      </c>
      <c r="I11" s="18">
        <f>-I6*I19</f>
        <v>-995139285.2887675</v>
      </c>
      <c r="J11" s="18">
        <f>-J6*J19</f>
        <v>-1084512463.8928454</v>
      </c>
      <c r="K11" s="18">
        <f>-K6*K19</f>
        <v>-1174863503.3259265</v>
      </c>
    </row>
    <row r="12" spans="1:11" x14ac:dyDescent="0.25">
      <c r="A12" t="s">
        <v>55</v>
      </c>
      <c r="B12" s="18">
        <f>-(B6-Assumptions!B29)*Assumptions!B11</f>
        <v>-152946653.18423343</v>
      </c>
      <c r="C12" s="18">
        <f>-(C6-B6)*Assumptions!B11</f>
        <v>-128232998.91313818</v>
      </c>
      <c r="D12" s="18">
        <f>-(D6-C6)*Assumptions!B11</f>
        <v>-126370649.18942457</v>
      </c>
      <c r="E12" s="18">
        <f>-(E6-D6)*Assumptions!B11</f>
        <v>-123708993.48597717</v>
      </c>
      <c r="F12" s="18">
        <f>-(F6-E6)*Assumptions!B11</f>
        <v>-120232522.54501238</v>
      </c>
      <c r="G12" s="18">
        <f>-(G6-F6)*Assumptions!B11</f>
        <v>-115934157.20131095</v>
      </c>
      <c r="H12" s="18">
        <f>-(H6-G6)*Assumptions!B11</f>
        <v>-110815748.36601576</v>
      </c>
      <c r="I12" s="18">
        <f>-(I6-H6)*Assumptions!B11</f>
        <v>-104888450.0628617</v>
      </c>
      <c r="J12" s="18">
        <f>-(J6-I6)*Assumptions!B11</f>
        <v>-98172952.14256132</v>
      </c>
      <c r="K12" s="18">
        <f>-(K6-J6)*Assumptions!B11</f>
        <v>-90699561.8230488</v>
      </c>
    </row>
    <row r="13" spans="1:11" x14ac:dyDescent="0.25">
      <c r="A13" s="19" t="s">
        <v>56</v>
      </c>
      <c r="B13" s="20">
        <f>B9+B10+B11+B12</f>
        <v>2366818433.628169</v>
      </c>
      <c r="C13" s="20">
        <f>C9+C10+C11+C12</f>
        <v>2463132349.016462</v>
      </c>
      <c r="D13" s="20">
        <f>D9+D10+D11+D12</f>
        <v>2530558683.6163435</v>
      </c>
      <c r="E13" s="20">
        <f>E9+E10+E11+E12</f>
        <v>2592137783.9879613</v>
      </c>
      <c r="F13" s="20">
        <f>F9+F10+F11+F12</f>
        <v>2647315844.9793453</v>
      </c>
      <c r="G13" s="20">
        <f>G9+G10+G11+G12</f>
        <v>2695580051.27147</v>
      </c>
      <c r="H13" s="20">
        <f>H9+H10+H11+H12</f>
        <v>2736466103.2703576</v>
      </c>
      <c r="I13" s="20">
        <f>I9+I10+I11+I12</f>
        <v>2769565262.5587826</v>
      </c>
      <c r="J13" s="20">
        <f>J9+J10+J11+J12</f>
        <v>2794530773.9930787</v>
      </c>
      <c r="K13" s="20">
        <f>K9+K10+K11+K12</f>
        <v>2811083529.6302233</v>
      </c>
    </row>
    <row r="14" spans="1:11" x14ac:dyDescent="0.25">
      <c r="A14" t="s">
        <v>57</v>
      </c>
      <c r="B14" s="21">
        <f>1/(1+Assumptions!$B$26)^(1-0.5*Assumptions!$B$32)</f>
        <v>0.9635838463235821</v>
      </c>
      <c r="C14" s="21">
        <f>1/(1+Assumptions!$B$26)^(2-0.5*Assumptions!$B$32)</f>
        <v>0.8946816549350752</v>
      </c>
      <c r="D14" s="21">
        <f>1/(1+Assumptions!$B$26)^(3-0.5*Assumptions!$B$32)</f>
        <v>0.8307063954334531</v>
      </c>
      <c r="E14" s="21">
        <f>1/(1+Assumptions!$B$26)^(4-0.5*Assumptions!$B$32)</f>
        <v>0.7713057617841926</v>
      </c>
      <c r="F14" s="21">
        <f>1/(1+Assumptions!$B$26)^(5-0.5*Assumptions!$B$32)</f>
        <v>0.7161526400083572</v>
      </c>
      <c r="G14" s="21">
        <f>1/(1+Assumptions!$B$26)^(6-0.5*Assumptions!$B$32)</f>
        <v>0.6649433067951582</v>
      </c>
      <c r="H14" s="21">
        <f>1/(1+Assumptions!$B$26)^(7-0.5*Assumptions!$B$32)</f>
        <v>0.617395756924837</v>
      </c>
      <c r="I14" s="21">
        <f>1/(1+Assumptions!$B$26)^(8-0.5*Assumptions!$B$32)</f>
        <v>0.5732481502911309</v>
      </c>
      <c r="J14" s="21">
        <f>1/(1+Assumptions!$B$26)^(9-0.5*Assumptions!$B$32)</f>
        <v>0.5322573699712175</v>
      </c>
      <c r="K14" s="21">
        <f>1/(1+Assumptions!$B$26)^(10-0.5*Assumptions!$B$32)</f>
        <v>0.4941976834025568</v>
      </c>
    </row>
    <row r="15" spans="1:11" x14ac:dyDescent="0.25">
      <c r="A15" s="19" t="s">
        <v>58</v>
      </c>
      <c r="B15" s="20">
        <f>B13*B14</f>
        <v>2280628009.824987</v>
      </c>
      <c r="C15" s="20">
        <f>C13*C14</f>
        <v>2203719326.3421674</v>
      </c>
      <c r="D15" s="20">
        <f>D13*D14</f>
        <v>2102151282.4997568</v>
      </c>
      <c r="E15" s="20">
        <f>E13*E14</f>
        <v>1999330808.1284235</v>
      </c>
      <c r="F15" s="20">
        <f>F13*F14</f>
        <v>1895882231.317913</v>
      </c>
      <c r="G15" s="20">
        <f>G13*G14</f>
        <v>1792407913.0235136</v>
      </c>
      <c r="H15" s="20">
        <f>H13*H14</f>
        <v>1689482561.1277614</v>
      </c>
      <c r="I15" s="20">
        <f>I13*I14</f>
        <v>1587648163.8723922</v>
      </c>
      <c r="J15" s="20">
        <f>J13*J14</f>
        <v>1487409600.069187</v>
      </c>
      <c r="K15" s="20">
        <f>K13*K14</f>
        <v>1389230968.194339</v>
      </c>
    </row>
    <row r="17" spans="1:2" x14ac:dyDescent="0.25">
      <c r="A17" s="22" t="s">
        <v>59</v>
      </c>
      <c r="B17" s="23">
        <f>SUM(B15:K15)</f>
        <v>18427890864.40044</v>
      </c>
    </row>
    <row r="19" spans="1:11" x14ac:dyDescent="0.25">
      <c r="A19" t="s">
        <v>7</v>
      </c>
      <c r="B19" s="9">
        <f>Assumptions!$B$10+($B$20-Assumptions!$B$10)*0/9</f>
        <v>0.020112348461069605</v>
      </c>
      <c r="C19" s="9">
        <f>Assumptions!$B$10+($B$20-Assumptions!$B$10)*1/9</f>
        <v>0.02221211472811848</v>
      </c>
      <c r="D19" s="9">
        <f>Assumptions!$B$10+($B$20-Assumptions!$B$10)*2/9</f>
        <v>0.024311880995167352</v>
      </c>
      <c r="E19" s="9">
        <f>Assumptions!$B$10+($B$20-Assumptions!$B$10)*3/9</f>
        <v>0.026411647262216228</v>
      </c>
      <c r="F19" s="9">
        <f>Assumptions!$B$10+($B$20-Assumptions!$B$10)*4/9</f>
        <v>0.028511413529265103</v>
      </c>
      <c r="G19" s="9">
        <f>Assumptions!$B$10+($B$20-Assumptions!$B$10)*5/9</f>
        <v>0.03061117979631398</v>
      </c>
      <c r="H19" s="9">
        <f>Assumptions!$B$10+($B$20-Assumptions!$B$10)*6/9</f>
        <v>0.032710946063362854</v>
      </c>
      <c r="I19" s="9">
        <f>Assumptions!$B$10+($B$20-Assumptions!$B$10)*7/9</f>
        <v>0.034810712330411726</v>
      </c>
      <c r="J19" s="9">
        <f>Assumptions!$B$10+($B$20-Assumptions!$B$10)*8/9</f>
        <v>0.036910478597460605</v>
      </c>
      <c r="K19" s="9">
        <f>Assumptions!$B$10+($B$20-Assumptions!$B$10)*9/9</f>
        <v>0.03901024486450948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0.03901024486450948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2811083529.6302233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3568631685.6217575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0.21812901153851574</v>
      </c>
    </row>
    <row r="7" spans="1:2" x14ac:dyDescent="0.25">
      <c r="A7" t="s">
        <v>66</v>
      </c>
      <c r="B7" s="18">
        <f>-MAX(B5,0)*B6</f>
        <v>-778422102.1297013</v>
      </c>
    </row>
    <row r="8" spans="1:2" x14ac:dyDescent="0.25">
      <c r="A8" t="s">
        <v>67</v>
      </c>
      <c r="B8" s="18">
        <f>IF(OR(Assumptions!$B$33=0,Assumptions!B12&lt;=0),B5,MAX(B5+B7,0))</f>
        <v>2790209583.4920564</v>
      </c>
    </row>
    <row r="9" spans="1:2" x14ac:dyDescent="0.25">
      <c r="A9" t="s">
        <v>68</v>
      </c>
      <c r="B9" s="18">
        <f>B8*(1+Assumptions!B12)/(Assumptions!B26-Assumptions!B12)</f>
        <v>54985490755.629105</v>
      </c>
    </row>
    <row r="10" spans="1:2" x14ac:dyDescent="0.25">
      <c r="A10" t="s">
        <v>69</v>
      </c>
      <c r="B10" s="18">
        <f>B9/(1+Assumptions!B26)^(10-0.5*Assumptions!B32)</f>
        <v>27173702152.18461</v>
      </c>
    </row>
    <row r="11" spans="1:2" x14ac:dyDescent="0.25">
      <c r="A11" t="s">
        <v>70</v>
      </c>
      <c r="B11" s="18">
        <f>Forecast!B17+B10</f>
        <v>45601593016.58505</v>
      </c>
    </row>
    <row r="12" spans="1:2" x14ac:dyDescent="0.25">
      <c r="A12" t="s">
        <v>71</v>
      </c>
      <c r="B12" s="18">
        <f>-Assumptions!B30</f>
        <v>-5971000000</v>
      </c>
    </row>
    <row r="13" spans="1:2" x14ac:dyDescent="0.25">
      <c r="A13" t="s">
        <v>72</v>
      </c>
      <c r="B13" s="18">
        <f>B11+B12</f>
        <v>39630593016.58505</v>
      </c>
    </row>
    <row r="14" spans="1:2" x14ac:dyDescent="0.25">
      <c r="A14" s="19" t="s">
        <v>73</v>
      </c>
      <c r="B14" s="24">
        <f>B13/Assumptions!B31</f>
        <v>86.52967907551322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4913696699.451614</v>
      </c>
    </row>
    <row r="18" spans="1:2" x14ac:dyDescent="0.25">
      <c r="A18" t="s">
        <v>68</v>
      </c>
      <c r="B18" s="18">
        <f>B17*Assumptions!B13</f>
        <v>59716413171.90919</v>
      </c>
    </row>
    <row r="19" spans="1:2" x14ac:dyDescent="0.25">
      <c r="A19" t="s">
        <v>69</v>
      </c>
      <c r="B19" s="18">
        <f>B18/(1+Assumptions!B26)^(10-0.5*Assumptions!B32)</f>
        <v>29511713050.66745</v>
      </c>
    </row>
    <row r="20" spans="1:2" x14ac:dyDescent="0.25">
      <c r="A20" t="s">
        <v>70</v>
      </c>
      <c r="B20" s="18">
        <f>Forecast!B17+B19</f>
        <v>47939603915.06789</v>
      </c>
    </row>
    <row r="21" spans="1:2" x14ac:dyDescent="0.25">
      <c r="A21" t="s">
        <v>71</v>
      </c>
      <c r="B21" s="18">
        <f>-Assumptions!B30</f>
        <v>-5971000000</v>
      </c>
    </row>
    <row r="22" spans="1:2" x14ac:dyDescent="0.25">
      <c r="A22" t="s">
        <v>72</v>
      </c>
      <c r="B22" s="18">
        <f>B20+B21</f>
        <v>41968603915.06789</v>
      </c>
    </row>
    <row r="23" spans="1:2" x14ac:dyDescent="0.25">
      <c r="A23" s="19" t="s">
        <v>73</v>
      </c>
      <c r="B23" s="25">
        <f>B22/Assumptions!B31</f>
        <v>91.63450636477704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76.57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86.52967907551322</v>
      </c>
    </row>
    <row r="29" spans="1:2" x14ac:dyDescent="0.25">
      <c r="A29" s="19" t="s">
        <v>81</v>
      </c>
      <c r="B29" s="11">
        <f>B28/B26-1</f>
        <v>0.13007286242018057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0.057013</v>
      </c>
      <c r="B5" s="31">
        <v>129.60881324572452</v>
      </c>
      <c r="C5" s="31">
        <v>136.5914591678106</v>
      </c>
      <c r="D5" s="31">
        <v>146.02904280789684</v>
      </c>
      <c r="E5" s="31">
        <v>159.28476209920072</v>
      </c>
      <c r="F5" s="31">
        <v>178.9603539593738</v>
      </c>
    </row>
    <row r="6" spans="1:6" x14ac:dyDescent="0.25">
      <c r="A6" s="30">
        <v>0.067013</v>
      </c>
      <c r="B6" s="31">
        <v>102.3403145982561</v>
      </c>
      <c r="C6" s="31">
        <v>105.32498860918376</v>
      </c>
      <c r="D6" s="31">
        <v>109.21709221700218</v>
      </c>
      <c r="E6" s="31">
        <v>114.38437307668018</v>
      </c>
      <c r="F6" s="31">
        <v>121.42432779203166</v>
      </c>
    </row>
    <row r="7" spans="1:6" x14ac:dyDescent="0.25">
      <c r="A7" s="30">
        <v>0.077013</v>
      </c>
      <c r="B7" s="31">
        <v>83.87679356902544</v>
      </c>
      <c r="C7" s="31">
        <v>85.01835512901137</v>
      </c>
      <c r="D7" s="32">
        <v>86.52982891366142</v>
      </c>
      <c r="E7" s="31">
        <v>88.52923937089355</v>
      </c>
      <c r="F7" s="31">
        <v>91.19079567617082</v>
      </c>
    </row>
    <row r="8" spans="1:6" x14ac:dyDescent="0.25">
      <c r="A8" s="30">
        <v>0.087013</v>
      </c>
      <c r="B8" s="31">
        <v>70.5495813969443</v>
      </c>
      <c r="C8" s="31">
        <v>70.76576953715166</v>
      </c>
      <c r="D8" s="31">
        <v>71.13620244889485</v>
      </c>
      <c r="E8" s="31">
        <v>71.70146160610162</v>
      </c>
      <c r="F8" s="31">
        <v>72.517732840813</v>
      </c>
    </row>
    <row r="9" spans="1:6" x14ac:dyDescent="0.25">
      <c r="A9" s="30">
        <v>0.097013</v>
      </c>
      <c r="B9" s="31">
        <v>60.479354683387506</v>
      </c>
      <c r="C9" s="31">
        <v>60.20941325751343</v>
      </c>
      <c r="D9" s="31">
        <v>59.99933877156915</v>
      </c>
      <c r="E9" s="31">
        <v>59.862531671721044</v>
      </c>
      <c r="F9" s="31">
        <v>59.81671422251756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20625000000</v>
      </c>
      <c r="C5" s="18">
        <v>19672000000</v>
      </c>
      <c r="D5" s="18">
        <v>19552000000</v>
      </c>
      <c r="E5" s="18">
        <v>18341000000</v>
      </c>
      <c r="F5" s="6" t="s">
        <v>91</v>
      </c>
    </row>
    <row r="6" spans="1:6" x14ac:dyDescent="0.25">
      <c r="A6" t="s">
        <v>51</v>
      </c>
      <c r="B6" s="18">
        <v>2762000000</v>
      </c>
      <c r="C6" s="18">
        <v>2625000000</v>
      </c>
      <c r="D6" s="18">
        <v>2435000000</v>
      </c>
      <c r="E6" s="18">
        <v>2522000000</v>
      </c>
      <c r="F6" s="6" t="s">
        <v>92</v>
      </c>
    </row>
    <row r="7" spans="1:6" x14ac:dyDescent="0.25">
      <c r="A7" t="s">
        <v>93</v>
      </c>
      <c r="B7" s="18">
        <v>578000000</v>
      </c>
      <c r="C7" s="18">
        <v>580000000</v>
      </c>
      <c r="D7" s="18">
        <v>610000000</v>
      </c>
      <c r="E7" s="18">
        <v>633000000</v>
      </c>
      <c r="F7" s="6" t="s">
        <v>94</v>
      </c>
    </row>
    <row r="8" spans="1:6" x14ac:dyDescent="0.25">
      <c r="A8" t="s">
        <v>95</v>
      </c>
      <c r="B8" s="18">
        <v>482000000</v>
      </c>
      <c r="C8" s="18">
        <v>401000000</v>
      </c>
      <c r="D8" s="18">
        <v>387000000</v>
      </c>
      <c r="E8" s="18">
        <v>310000000</v>
      </c>
      <c r="F8" s="6" t="s">
        <v>96</v>
      </c>
    </row>
    <row r="9" spans="1:6" x14ac:dyDescent="0.25">
      <c r="A9" t="s">
        <v>97</v>
      </c>
      <c r="B9" s="18">
        <v>153000000</v>
      </c>
      <c r="C9" s="18">
        <v>68000000</v>
      </c>
      <c r="D9" s="18">
        <v>-27000000</v>
      </c>
      <c r="E9" s="18">
        <v>293000000</v>
      </c>
      <c r="F9" s="6" t="s">
        <v>98</v>
      </c>
    </row>
    <row r="10" spans="1:6" x14ac:dyDescent="0.25">
      <c r="A10" t="s">
        <v>99</v>
      </c>
      <c r="B10" s="18">
        <v>10463000000</v>
      </c>
      <c r="C10" s="18">
        <v>9376000000</v>
      </c>
      <c r="D10" s="18">
        <v>9863000000</v>
      </c>
      <c r="E10" s="18">
        <v>8635000000</v>
      </c>
      <c r="F10" s="6" t="s">
        <v>100</v>
      </c>
    </row>
    <row r="11" spans="1:6" x14ac:dyDescent="0.25">
      <c r="A11" t="s">
        <v>101</v>
      </c>
      <c r="B11" s="18">
        <v>4492000000</v>
      </c>
      <c r="C11" s="18">
        <v>2874000000</v>
      </c>
      <c r="D11" s="18">
        <v>2494000000</v>
      </c>
      <c r="E11" s="18">
        <v>1440000000</v>
      </c>
      <c r="F11" s="6" t="s">
        <v>102</v>
      </c>
    </row>
    <row r="12" spans="1:6" x14ac:dyDescent="0.25">
      <c r="A12" t="s">
        <v>34</v>
      </c>
      <c r="B12" s="34">
        <v>458000000</v>
      </c>
      <c r="C12" s="34">
        <v>459000000</v>
      </c>
      <c r="D12" s="34">
        <v>458000000</v>
      </c>
      <c r="E12" s="34">
        <v>413822894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