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<sst xmlns="http://schemas.openxmlformats.org/spreadsheetml/2006/main" count="120" uniqueCount="107">
  <si>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Gen Digital Inc. (GEN)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</si>
  <si>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</si>
  <si>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</si>
  <si>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</si>
  <si>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</si>
  <si>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</si>
  <si>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</si>
  <si>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</si>
  <si>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</si>
  <si>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</si>
  <si>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</si>
  <si>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</si>
  <si>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</si>
  <si>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</si>
  <si>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</si>
  <si>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</si>
  <si>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</si>
  <si>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</si>
  <si>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</si>
  <si>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</si>
  <si>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</si>
  <si>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</si>
  <si>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</si>
  <si>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</si>
  <si>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</si>
  <si>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</si>
  <si>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</si>
  <si>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</si>
  <si>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</si>
  <si>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</si>
  <si>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</si>
  <si>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</si>
  <si>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</si>
  <si>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</si>
  <si>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</si>
  <si>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</si>
  <si>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</si>
  <si>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</si>
  <si>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</si>
  <si>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</si>
  <si>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</si>
  <si>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</si>
  <si>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</si>
  <si>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</si>
  <si>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</si>
  <si>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</si>
  <si>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</si>
  <si>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</si>
  <si>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</si>
  <si>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</si>
  <si>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</si>
  <si>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</si>
  <si>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</si>
  <si>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</si>
  <si>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</si>
  <si>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</si>
  <si>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</si>
  <si>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</si>
  <si>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</si>
  <si>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</si>
  <si>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</si>
  <si>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</si>
  <si>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</si>
  <si>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</si>
  <si>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</si>
  <si>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</si>
  <si>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</si>
  <si>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</si>
  <si>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</si>
  <si>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</si>
  <si>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</si>
  <si>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</si>
  <si>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</si>
  <si>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</si>
  <si>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</si>
  <si>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</si>
  <si>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</si>
  <si>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</si>
  <si>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</si>
  <si>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</si>
  <si>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</si>
  <si>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</si>
  <si>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</si>
  <si>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</si>
  <si>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</si>
  <si>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</si>
  <si>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</si>
  <si>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</si>
  <si>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</si>
  <si>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</si>
  <si>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</si>
  <si>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</si>
  <si>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</si>
  <si>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</si>
  <si>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</si>
  <si>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</si>
  <si>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</si>
  <si>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</si>
  <si>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</si>
  <si>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</si>
  <si>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</si>
  <si>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</si>
  <si>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</si>
  <si>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</si>
  <si>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</si>
  <si>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0.38%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</si>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</sst>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0.09275020199999995</v>
      </c>
    </row>
    <row r="7" spans="1:2" x14ac:dyDescent="0.25">
      <c r="A7" t="s">
        <v>4</v>
      </c>
      <c r="B7" s="5">
        <v>0.38354467602144643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0.1079744738397577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0.02476315789473684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9.552432</v>
      </c>
    </row>
    <row r="14" spans="1:3" x14ac:dyDescent="0.25">
      <c r="A14" t="s">
        <v>12</v>
      </c>
      <c r="B14" s="5">
        <v>0.10368518684069372</v>
      </c>
      <c r="C14" s="6" t="s">
        <v>13</v>
      </c>
    </row>
    <row r="15" spans="1:3" x14ac:dyDescent="0.25">
      <c r="A15" t="s">
        <v>14</v>
      </c>
      <c r="B15" s="5">
        <v>0.005039496624142442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1.17219</v>
      </c>
      <c r="C19" s="6" t="s">
        <v>21</v>
      </c>
    </row>
    <row r="20" spans="1:2" x14ac:dyDescent="0.25">
      <c r="A20" t="s">
        <v>22</v>
      </c>
      <c r="B20" s="9">
        <f>B17+B19*B18</f>
        <v>0.098523637</v>
      </c>
    </row>
    <row r="21" spans="1:3" x14ac:dyDescent="0.25">
      <c r="A21" t="s">
        <v>23</v>
      </c>
      <c r="B21" s="5">
        <v>0.06865761689291101</v>
      </c>
      <c r="C21" s="6" t="s">
        <v>24</v>
      </c>
    </row>
    <row r="22" spans="1:2" x14ac:dyDescent="0.25">
      <c r="A22" t="s">
        <v>25</v>
      </c>
      <c r="B22" s="10">
        <v>17436839936</v>
      </c>
    </row>
    <row r="23" spans="1:2" x14ac:dyDescent="0.25">
      <c r="A23" t="s">
        <v>26</v>
      </c>
      <c r="B23" s="10">
        <v>8260000000</v>
      </c>
    </row>
    <row r="24" spans="1:2" x14ac:dyDescent="0.25">
      <c r="A24" t="s">
        <v>27</v>
      </c>
      <c r="B24" s="9">
        <f>B22/(B22+B23)</f>
        <v>0.6785596975903582</v>
      </c>
    </row>
    <row r="25" spans="1:2" x14ac:dyDescent="0.25">
      <c r="A25" t="s">
        <v>28</v>
      </c>
      <c r="B25" s="9">
        <f>1-B24</f>
        <v>0.32144030240964183</v>
      </c>
    </row>
    <row r="26" spans="1:2" x14ac:dyDescent="0.25">
      <c r="A26" t="s">
        <v>29</v>
      </c>
      <c r="B26" s="11">
        <f>B24*B20+B25*B21*(1-B8)</f>
        <v>0.08428893618628051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5000000000</v>
      </c>
      <c r="C29" s="6" t="s">
        <v>32</v>
      </c>
    </row>
    <row r="30" spans="1:2" x14ac:dyDescent="0.25">
      <c r="A30" t="s">
        <v>33</v>
      </c>
      <c r="B30" s="10">
        <v>7858000000</v>
      </c>
    </row>
    <row r="31" spans="1:2" x14ac:dyDescent="0.25">
      <c r="A31" t="s">
        <v>34</v>
      </c>
      <c r="B31" s="12">
        <v>619000000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0.09275020199999995</v>
      </c>
      <c r="C5" s="5">
        <v>0.06776151572836775</v>
      </c>
      <c r="D5" s="5">
        <v>0.062416326262321783</v>
      </c>
      <c r="E5" s="5">
        <v>0.05707113679627581</v>
      </c>
      <c r="F5" s="5">
        <v>0.051725947330229845</v>
      </c>
      <c r="G5" s="5">
        <v>0.04638075786418387</v>
      </c>
      <c r="H5" s="5">
        <v>0.041035568398137906</v>
      </c>
      <c r="I5" s="5">
        <v>0.03569037893209194</v>
      </c>
      <c r="J5" s="5">
        <v>0.030345189466045967</v>
      </c>
      <c r="K5" s="5">
        <v>0.025</v>
      </c>
    </row>
    <row r="6" spans="1:11" x14ac:dyDescent="0.25">
      <c r="A6" t="s">
        <v>50</v>
      </c>
      <c r="B6" s="18">
        <f>Assumptions!B29*(1+B5)</f>
        <v>5463751010</v>
      </c>
      <c r="C6" s="18">
        <f>B6*(1+C5)</f>
        <v>5833983060</v>
      </c>
      <c r="D6" s="18">
        <f>C6*(1+D5)</f>
        <v>6198118850.081819</v>
      </c>
      <c r="E6" s="18">
        <f>D6*(1+E5)</f>
        <v>6551852538.854413</v>
      </c>
      <c r="F6" s="18">
        <f>E6*(1+F5)</f>
        <v>6890753318.194629</v>
      </c>
      <c r="G6" s="18">
        <f>F6*(1+G5)</f>
        <v>7210351679.347636</v>
      </c>
      <c r="H6" s="18">
        <f>G6*(1+H5)</f>
        <v>7506232558.860134</v>
      </c>
      <c r="I6" s="18">
        <f>H6*(1+I5)</f>
        <v>7774132843.238258</v>
      </c>
      <c r="J6" s="18">
        <f>I6*(1+J5)</f>
        <v>8010040377.300534</v>
      </c>
      <c r="K6" s="18">
        <f>J6*(1+K5)</f>
        <v>8210291386.733047</v>
      </c>
    </row>
    <row r="7" spans="1:11" x14ac:dyDescent="0.25">
      <c r="A7" t="s">
        <v>4</v>
      </c>
      <c r="B7" s="9">
        <f>Assumptions!B7</f>
        <v>0.38354467602144643</v>
      </c>
      <c r="C7" s="9">
        <f>Assumptions!B7</f>
        <v>0.38354467602144643</v>
      </c>
      <c r="D7" s="9">
        <f>Assumptions!B7</f>
        <v>0.38354467602144643</v>
      </c>
      <c r="E7" s="9">
        <f>Assumptions!B7</f>
        <v>0.38354467602144643</v>
      </c>
      <c r="F7" s="9">
        <f>Assumptions!B7</f>
        <v>0.38354467602144643</v>
      </c>
      <c r="G7" s="9">
        <f>Assumptions!B7</f>
        <v>0.38354467602144643</v>
      </c>
      <c r="H7" s="9">
        <f>Assumptions!B7</f>
        <v>0.38354467602144643</v>
      </c>
      <c r="I7" s="9">
        <f>Assumptions!B7</f>
        <v>0.38354467602144643</v>
      </c>
      <c r="J7" s="9">
        <f>Assumptions!B7</f>
        <v>0.38354467602144643</v>
      </c>
      <c r="K7" s="9">
        <f>Assumptions!B7</f>
        <v>0.38354467602144643</v>
      </c>
    </row>
    <row r="8" spans="1:11" x14ac:dyDescent="0.25">
      <c r="A8" t="s">
        <v>51</v>
      </c>
      <c r="B8" s="18">
        <f>B6*B7</f>
        <v>2095592610.9923007</v>
      </c>
      <c r="C8" s="18">
        <f>C6*C7</f>
        <v>2237593142.662307</v>
      </c>
      <c r="D8" s="18">
        <f>D6*D7</f>
        <v>2377255486.2970514</v>
      </c>
      <c r="E8" s="18">
        <f>E6*E7</f>
        <v>2512928159.355207</v>
      </c>
      <c r="F8" s="18">
        <f>F6*F7</f>
        <v>2642911748.970666</v>
      </c>
      <c r="G8" s="18">
        <f>G6*G7</f>
        <v>2765491998.8560815</v>
      </c>
      <c r="H8" s="18">
        <f>H6*H7</f>
        <v>2878975534.929643</v>
      </c>
      <c r="I8" s="18">
        <f>I6*I7</f>
        <v>2981727262.707504</v>
      </c>
      <c r="J8" s="18">
        <f>J6*J7</f>
        <v>3072208341.430438</v>
      </c>
      <c r="K8" s="18">
        <f>K6*K7</f>
        <v>3149013549.9661984</v>
      </c>
    </row>
    <row r="9" spans="1:11" x14ac:dyDescent="0.25">
      <c r="A9" t="s">
        <v>52</v>
      </c>
      <c r="B9" s="18">
        <f>B8*(1-Assumptions!B8)</f>
        <v>1655518162.6839178</v>
      </c>
      <c r="C9" s="18">
        <f>C8*(1-Assumptions!B8)</f>
        <v>1767698582.7032225</v>
      </c>
      <c r="D9" s="18">
        <f>D8*(1-Assumptions!B8)</f>
        <v>1878031834.1746707</v>
      </c>
      <c r="E9" s="18">
        <f>E8*(1-Assumptions!B8)</f>
        <v>1985213245.8906136</v>
      </c>
      <c r="F9" s="18">
        <f>F8*(1-Assumptions!B8)</f>
        <v>2087900281.6868262</v>
      </c>
      <c r="G9" s="18">
        <f>G8*(1-Assumptions!B8)</f>
        <v>2184738679.0963044</v>
      </c>
      <c r="H9" s="18">
        <f>H8*(1-Assumptions!B8)</f>
        <v>2274390672.594418</v>
      </c>
      <c r="I9" s="18">
        <f>I8*(1-Assumptions!B8)</f>
        <v>2355564537.538928</v>
      </c>
      <c r="J9" s="18">
        <f>J8*(1-Assumptions!B8)</f>
        <v>2427044589.7300463</v>
      </c>
      <c r="K9" s="18">
        <f>K8*(1-Assumptions!B8)</f>
        <v>2487720704.473297</v>
      </c>
    </row>
    <row r="10" spans="1:11" x14ac:dyDescent="0.25">
      <c r="A10" t="s">
        <v>53</v>
      </c>
      <c r="B10" s="18">
        <f>B6*Assumptions!B9</f>
        <v>589945640.4961947</v>
      </c>
      <c r="C10" s="18">
        <f>C6*Assumptions!B9</f>
        <v>629921251.2935596</v>
      </c>
      <c r="D10" s="18">
        <f>D6*Assumptions!B9</f>
        <v>669238621.6338683</v>
      </c>
      <c r="E10" s="18">
        <f>E6*Assumptions!B9</f>
        <v>707432830.5584859</v>
      </c>
      <c r="F10" s="18">
        <f>F6*Assumptions!B9</f>
        <v>744025463.8916295</v>
      </c>
      <c r="G10" s="18">
        <f>G6*Assumptions!B9</f>
        <v>778533928.7771744</v>
      </c>
      <c r="H10" s="18">
        <f>H6*Assumptions!B9</f>
        <v>810481511.061781</v>
      </c>
      <c r="I10" s="18">
        <f>I6*Assumptions!B9</f>
        <v>839407903.3090304</v>
      </c>
      <c r="J10" s="18">
        <f>J6*Assumptions!B9</f>
        <v>864879895.1742394</v>
      </c>
      <c r="K10" s="18">
        <f>K6*Assumptions!B9</f>
        <v>886501892.5535953</v>
      </c>
    </row>
    <row r="11" spans="1:11" x14ac:dyDescent="0.25">
      <c r="A11" t="s">
        <v>54</v>
      </c>
      <c r="B11" s="18">
        <f>-B6*B19</f>
        <v>-54637510.1</v>
      </c>
      <c r="C11" s="18">
        <f>-C6*C19</f>
        <v>-115191577.39985529</v>
      </c>
      <c r="D11" s="18">
        <f>-D6*D19</f>
        <v>-182781636.4542141</v>
      </c>
      <c r="E11" s="18">
        <f>-E6*E19</f>
        <v>-257060525.65393746</v>
      </c>
      <c r="F11" s="18">
        <f>-F6*F19</f>
        <v>-337507122.09214354</v>
      </c>
      <c r="G11" s="18">
        <f>-G6*G19</f>
        <v>-423425318.55080193</v>
      </c>
      <c r="H11" s="18">
        <f>-H6*H19</f>
        <v>-513948515.48831576</v>
      </c>
      <c r="I11" s="18">
        <f>-I6*I19</f>
        <v>-608049900.1452293</v>
      </c>
      <c r="J11" s="18">
        <f>-J6*J19</f>
        <v>-704558558.9695098</v>
      </c>
      <c r="K11" s="18">
        <f>-K6*K19</f>
        <v>-802181224.0782995</v>
      </c>
    </row>
    <row r="12" spans="1:11" x14ac:dyDescent="0.25">
      <c r="A12" t="s">
        <v>55</v>
      </c>
      <c r="B12" s="18">
        <f>-(B6-Assumptions!B29)*Assumptions!B11</f>
        <v>-11483939.484473683</v>
      </c>
      <c r="C12" s="18">
        <f>-(C6-B6)*Assumptions!B11</f>
        <v>-9168114.711842105</v>
      </c>
      <c r="D12" s="18">
        <f>-(D6-C6)*Assumptions!B11</f>
        <v>-9017152.064920822</v>
      </c>
      <c r="E12" s="18">
        <f>-(E6-D6)*Assumptions!B11</f>
        <v>-8759563.187763456</v>
      </c>
      <c r="F12" s="18">
        <f>-(F6-E6)*Assumptions!B11</f>
        <v>-8392253.50945113</v>
      </c>
      <c r="G12" s="18">
        <f>-(G6-F6)*Assumptions!B11</f>
        <v>-7914264.680131054</v>
      </c>
      <c r="H12" s="18">
        <f>-(H6-G6)*Assumptions!B11</f>
        <v>-7326944.937401593</v>
      </c>
      <c r="I12" s="18">
        <f>-(I6-H6)*Assumptions!B11</f>
        <v>-6634057.042100392</v>
      </c>
      <c r="J12" s="18">
        <f>-(J6-I6)*Assumptions!B11</f>
        <v>-5841815.5145421475</v>
      </c>
      <c r="K12" s="18">
        <f>-(K6-J6)*Assumptions!B11</f>
        <v>-4958847.365157738</v>
      </c>
    </row>
    <row r="13" spans="1:11" x14ac:dyDescent="0.25">
      <c r="A13" s="19" t="s">
        <v>56</v>
      </c>
      <c r="B13" s="20">
        <f>B9+B10+B11+B12</f>
        <v>2179342353.5956388</v>
      </c>
      <c r="C13" s="20">
        <f>C9+C10+C11+C12</f>
        <v>2273260141.885085</v>
      </c>
      <c r="D13" s="20">
        <f>D9+D10+D11+D12</f>
        <v>2355471667.289404</v>
      </c>
      <c r="E13" s="20">
        <f>E9+E10+E11+E12</f>
        <v>2426825987.6073985</v>
      </c>
      <c r="F13" s="20">
        <f>F9+F10+F11+F12</f>
        <v>2486026369.9768615</v>
      </c>
      <c r="G13" s="20">
        <f>G9+G10+G11+G12</f>
        <v>2531933024.642546</v>
      </c>
      <c r="H13" s="20">
        <f>H9+H10+H11+H12</f>
        <v>2563596723.2304816</v>
      </c>
      <c r="I13" s="20">
        <f>I9+I10+I11+I12</f>
        <v>2580288483.660629</v>
      </c>
      <c r="J13" s="20">
        <f>J9+J10+J11+J12</f>
        <v>2581524110.4202332</v>
      </c>
      <c r="K13" s="20">
        <f>K9+K10+K11+K12</f>
        <v>2567082525.5834355</v>
      </c>
    </row>
    <row r="14" spans="1:11" x14ac:dyDescent="0.25">
      <c r="A14" t="s">
        <v>57</v>
      </c>
      <c r="B14" s="21">
        <f>1/(1+Assumptions!$B$26)^(1-0.5*Assumptions!$B$32)</f>
        <v>0.9603454582586692</v>
      </c>
      <c r="C14" s="21">
        <f>1/(1+Assumptions!$B$26)^(2-0.5*Assumptions!$B$32)</f>
        <v>0.8856914667380523</v>
      </c>
      <c r="D14" s="21">
        <f>1/(1+Assumptions!$B$26)^(3-0.5*Assumptions!$B$32)</f>
        <v>0.8168408227545456</v>
      </c>
      <c r="E14" s="21">
        <f>1/(1+Assumptions!$B$26)^(4-0.5*Assumptions!$B$32)</f>
        <v>0.7533423937973418</v>
      </c>
      <c r="F14" s="21">
        <f>1/(1+Assumptions!$B$26)^(5-0.5*Assumptions!$B$32)</f>
        <v>0.6947801168635349</v>
      </c>
      <c r="G14" s="21">
        <f>1/(1+Assumptions!$B$26)^(6-0.5*Assumptions!$B$32)</f>
        <v>0.6407702722737844</v>
      </c>
      <c r="H14" s="21">
        <f>1/(1+Assumptions!$B$26)^(7-0.5*Assumptions!$B$32)</f>
        <v>0.5909589694122824</v>
      </c>
      <c r="I14" s="21">
        <f>1/(1+Assumptions!$B$26)^(8-0.5*Assumptions!$B$32)</f>
        <v>0.54501982791675</v>
      </c>
      <c r="J14" s="21">
        <f>1/(1+Assumptions!$B$26)^(9-0.5*Assumptions!$B$32)</f>
        <v>0.5026518391248398</v>
      </c>
      <c r="K14" s="21">
        <f>1/(1+Assumptions!$B$26)^(10-0.5*Assumptions!$B$32)</f>
        <v>0.46357739376442775</v>
      </c>
    </row>
    <row r="15" spans="1:11" x14ac:dyDescent="0.25">
      <c r="A15" s="19" t="s">
        <v>58</v>
      </c>
      <c r="B15" s="20">
        <f>B13*B14</f>
        <v>2092921531.2663305</v>
      </c>
      <c r="C15" s="20">
        <f>C13*C14</f>
        <v>2013407109.343354</v>
      </c>
      <c r="D15" s="20">
        <f>D13*D14</f>
        <v>1924045414.683698</v>
      </c>
      <c r="E15" s="20">
        <f>E13*E14</f>
        <v>1828230898.8337557</v>
      </c>
      <c r="F15" s="20">
        <f>F13*F14</f>
        <v>1727241691.8583534</v>
      </c>
      <c r="G15" s="20">
        <f>G13*G14</f>
        <v>1622387413.5791907</v>
      </c>
      <c r="H15" s="20">
        <f>H13*H14</f>
        <v>1514980477.5489898</v>
      </c>
      <c r="I15" s="20">
        <f>I13*I14</f>
        <v>1406308385.3402877</v>
      </c>
      <c r="J15" s="20">
        <f>J13*J14</f>
        <v>1297607841.8478463</v>
      </c>
      <c r="K15" s="20">
        <f>K13*K14</f>
        <v>1190041426.788174</v>
      </c>
    </row>
    <row r="17" spans="1:2" x14ac:dyDescent="0.25">
      <c r="A17" s="22" t="s">
        <v>59</v>
      </c>
      <c r="B17" s="23">
        <f>SUM(B15:K15)</f>
        <v>16617172191.089981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0.01974492833029503</v>
      </c>
      <c r="D19" s="9">
        <f>Assumptions!$B$10+($B$20-Assumptions!$B$10)*2/9</f>
        <v>0.029489856660590057</v>
      </c>
      <c r="E19" s="9">
        <f>Assumptions!$B$10+($B$20-Assumptions!$B$10)*3/9</f>
        <v>0.039234784990885084</v>
      </c>
      <c r="F19" s="9">
        <f>Assumptions!$B$10+($B$20-Assumptions!$B$10)*4/9</f>
        <v>0.04897971332118012</v>
      </c>
      <c r="G19" s="9">
        <f>Assumptions!$B$10+($B$20-Assumptions!$B$10)*5/9</f>
        <v>0.058724641651475146</v>
      </c>
      <c r="H19" s="9">
        <f>Assumptions!$B$10+($B$20-Assumptions!$B$10)*6/9</f>
        <v>0.06846956998177017</v>
      </c>
      <c r="I19" s="9">
        <f>Assumptions!$B$10+($B$20-Assumptions!$B$10)*7/9</f>
        <v>0.0782144983120652</v>
      </c>
      <c r="J19" s="9">
        <f>Assumptions!$B$10+($B$20-Assumptions!$B$10)*8/9</f>
        <v>0.08795942664236023</v>
      </c>
      <c r="K19" s="9">
        <f>Assumptions!$B$10+($B$20-Assumptions!$B$10)*9/9</f>
        <v>0.09770435497265526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0.09770435497265526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2567082525.5834355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3155370368.3665705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0.24111448087961737</v>
      </c>
    </row>
    <row r="7" spans="1:2" x14ac:dyDescent="0.25">
      <c r="A7" t="s">
        <v>66</v>
      </c>
      <c r="B7" s="18">
        <f>-MAX(B5,0)*B6</f>
        <v>-760805488.3516327</v>
      </c>
    </row>
    <row r="8" spans="1:2" x14ac:dyDescent="0.25">
      <c r="A8" t="s">
        <v>67</v>
      </c>
      <c r="B8" s="18">
        <f>IF(OR(Assumptions!$B$33=0,Assumptions!B12&lt;=0),B5,MAX(B5+B7,0))</f>
        <v>2394564880.014938</v>
      </c>
    </row>
    <row r="9" spans="1:2" x14ac:dyDescent="0.25">
      <c r="A9" t="s">
        <v>68</v>
      </c>
      <c r="B9" s="18">
        <f>B8*(1+Assumptions!B12)/(Assumptions!B26-Assumptions!B12)</f>
        <v>41397757488.91354</v>
      </c>
    </row>
    <row r="10" spans="1:2" x14ac:dyDescent="0.25">
      <c r="A10" t="s">
        <v>69</v>
      </c>
      <c r="B10" s="18">
        <f>B9/(1+Assumptions!B26)^(10-0.5*Assumptions!B32)</f>
        <v>19191064524.402363</v>
      </c>
    </row>
    <row r="11" spans="1:2" x14ac:dyDescent="0.25">
      <c r="A11" t="s">
        <v>70</v>
      </c>
      <c r="B11" s="18">
        <f>Forecast!B17+B10</f>
        <v>35808236715.49234</v>
      </c>
    </row>
    <row r="12" spans="1:2" x14ac:dyDescent="0.25">
      <c r="A12" t="s">
        <v>71</v>
      </c>
      <c r="B12" s="18">
        <f>-Assumptions!B30</f>
        <v>-7858000000</v>
      </c>
    </row>
    <row r="13" spans="1:2" x14ac:dyDescent="0.25">
      <c r="A13" t="s">
        <v>72</v>
      </c>
      <c r="B13" s="18">
        <f>B11+B12</f>
        <v>27950236715.49234</v>
      </c>
    </row>
    <row r="14" spans="1:2" x14ac:dyDescent="0.25">
      <c r="A14" s="19" t="s">
        <v>73</v>
      </c>
      <c r="B14" s="24">
        <f>B13/Assumptions!B31</f>
        <v>45.153855760084554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4035515442.5197935</v>
      </c>
    </row>
    <row r="18" spans="1:2" x14ac:dyDescent="0.25">
      <c r="A18" t="s">
        <v>68</v>
      </c>
      <c r="B18" s="18">
        <f>B17*Assumptions!B13</f>
        <v>38548986849.62023</v>
      </c>
    </row>
    <row r="19" spans="1:2" x14ac:dyDescent="0.25">
      <c r="A19" t="s">
        <v>69</v>
      </c>
      <c r="B19" s="18">
        <f>B18/(1+Assumptions!B26)^(10-0.5*Assumptions!B32)</f>
        <v>17870438856.006145</v>
      </c>
    </row>
    <row r="20" spans="1:2" x14ac:dyDescent="0.25">
      <c r="A20" t="s">
        <v>70</v>
      </c>
      <c r="B20" s="18">
        <f>Forecast!B17+B19</f>
        <v>34487611047.09613</v>
      </c>
    </row>
    <row r="21" spans="1:2" x14ac:dyDescent="0.25">
      <c r="A21" t="s">
        <v>71</v>
      </c>
      <c r="B21" s="18">
        <f>-Assumptions!B30</f>
        <v>-7858000000</v>
      </c>
    </row>
    <row r="22" spans="1:2" x14ac:dyDescent="0.25">
      <c r="A22" t="s">
        <v>72</v>
      </c>
      <c r="B22" s="18">
        <f>B20+B21</f>
        <v>26629611047.09613</v>
      </c>
    </row>
    <row r="23" spans="1:2" x14ac:dyDescent="0.25">
      <c r="A23" s="19" t="s">
        <v>73</v>
      </c>
      <c r="B23" s="25">
        <f>B22/Assumptions!B31</f>
        <v>43.020373258636724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29.13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45.153855760084554</v>
      </c>
    </row>
    <row r="29" spans="1:2" x14ac:dyDescent="0.25">
      <c r="A29" s="19" t="s">
        <v>81</v>
      </c>
      <c r="B29" s="11">
        <f>B28/B26-1</f>
        <v>0.5500808705830607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0.064289</v>
      </c>
      <c r="B5" s="31">
        <v>67.67976121413955</v>
      </c>
      <c r="C5" s="31">
        <v>69.69315210530142</v>
      </c>
      <c r="D5" s="31">
        <v>72.37142402410474</v>
      </c>
      <c r="E5" s="31">
        <v>76.00543454629167</v>
      </c>
      <c r="F5" s="31">
        <v>81.08465340625925</v>
      </c>
    </row>
    <row r="6" spans="1:6" x14ac:dyDescent="0.25">
      <c r="A6" s="30">
        <v>0.074289</v>
      </c>
      <c r="B6" s="31">
        <v>54.468720257100344</v>
      </c>
      <c r="C6" s="31">
        <v>55.12383219131784</v>
      </c>
      <c r="D6" s="31">
        <v>56.02665120148573</v>
      </c>
      <c r="E6" s="31">
        <v>57.2610718469586</v>
      </c>
      <c r="F6" s="31">
        <v>58.95369507277385</v>
      </c>
    </row>
    <row r="7" spans="1:6" x14ac:dyDescent="0.25">
      <c r="A7" s="30">
        <v>0.084289</v>
      </c>
      <c r="B7" s="31">
        <v>45.0571228655343</v>
      </c>
      <c r="C7" s="31">
        <v>45.06008805543397</v>
      </c>
      <c r="D7" s="32">
        <v>45.15379795423279</v>
      </c>
      <c r="E7" s="31">
        <v>45.36332524025395</v>
      </c>
      <c r="F7" s="31">
        <v>45.723916333760315</v>
      </c>
    </row>
    <row r="8" spans="1:6" x14ac:dyDescent="0.25">
      <c r="A8" s="30">
        <v>0.094289</v>
      </c>
      <c r="B8" s="31">
        <v>38.008794930504465</v>
      </c>
      <c r="C8" s="31">
        <v>37.68470797856103</v>
      </c>
      <c r="D8" s="31">
        <v>37.38693222294839</v>
      </c>
      <c r="E8" s="31">
        <v>37.121606629041054</v>
      </c>
      <c r="F8" s="31">
        <v>36.89694102371384</v>
      </c>
    </row>
    <row r="9" spans="1:6" x14ac:dyDescent="0.25">
      <c r="A9" s="30">
        <v>0.104289</v>
      </c>
      <c r="B9" s="31">
        <v>32.55970920431352</v>
      </c>
      <c r="C9" s="31">
        <v>32.082812262937345</v>
      </c>
      <c r="D9" s="31">
        <v>31.605915321561156</v>
      </c>
      <c r="E9" s="31">
        <v>31.129018380184974</v>
      </c>
      <c r="F9" s="31">
        <v>30.65212143880878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5000000000</v>
      </c>
      <c r="C5" s="18">
        <v>3935000000</v>
      </c>
      <c r="D5" s="18">
        <v>3800000000</v>
      </c>
      <c r="E5" s="18">
        <v>3317000000</v>
      </c>
      <c r="F5" s="6" t="s">
        <v>91</v>
      </c>
    </row>
    <row r="6" spans="1:6" x14ac:dyDescent="0.25">
      <c r="A6" t="s">
        <v>51</v>
      </c>
      <c r="B6" s="18">
        <v>2155000000</v>
      </c>
      <c r="C6" s="18">
        <v>1620000000</v>
      </c>
      <c r="D6" s="18">
        <v>1167000000</v>
      </c>
      <c r="E6" s="18">
        <v>1275000000</v>
      </c>
      <c r="F6" s="6" t="s">
        <v>92</v>
      </c>
    </row>
    <row r="7" spans="1:6" x14ac:dyDescent="0.25">
      <c r="A7" t="s">
        <v>93</v>
      </c>
      <c r="B7" s="18">
        <v>493000000</v>
      </c>
      <c r="C7" s="18">
        <v>419000000</v>
      </c>
      <c r="D7" s="18">
        <v>485000000</v>
      </c>
      <c r="E7" s="18">
        <v>329000000</v>
      </c>
      <c r="F7" s="6" t="s">
        <v>94</v>
      </c>
    </row>
    <row r="8" spans="1:6" x14ac:dyDescent="0.25">
      <c r="A8" t="s">
        <v>95</v>
      </c>
      <c r="B8" s="18">
        <v>22000000</v>
      </c>
      <c r="C8" s="18">
        <v>15000000</v>
      </c>
      <c r="D8" s="18">
        <v>20000000</v>
      </c>
      <c r="E8" s="18">
        <v>6000000</v>
      </c>
      <c r="F8" s="6" t="s">
        <v>96</v>
      </c>
    </row>
    <row r="9" spans="1:6" x14ac:dyDescent="0.25">
      <c r="A9" t="s">
        <v>97</v>
      </c>
      <c r="B9" s="18">
        <v>647000000</v>
      </c>
      <c r="C9" s="18">
        <v>72000000</v>
      </c>
      <c r="D9" s="18">
        <v>-1757000000</v>
      </c>
      <c r="E9" s="18">
        <v>954000000</v>
      </c>
      <c r="F9" s="6" t="s">
        <v>98</v>
      </c>
    </row>
    <row r="10" spans="1:6" x14ac:dyDescent="0.25">
      <c r="A10" t="s">
        <v>99</v>
      </c>
      <c r="B10" s="18">
        <v>8260000000</v>
      </c>
      <c r="C10" s="18">
        <v>8315000000</v>
      </c>
      <c r="D10" s="18">
        <v>8655000000</v>
      </c>
      <c r="E10" s="18">
        <v>9819000000</v>
      </c>
      <c r="F10" s="6" t="s">
        <v>100</v>
      </c>
    </row>
    <row r="11" spans="1:6" x14ac:dyDescent="0.25">
      <c r="A11" t="s">
        <v>101</v>
      </c>
      <c r="B11" s="18">
        <v>402000000</v>
      </c>
      <c r="C11" s="18">
        <v>1006000000</v>
      </c>
      <c r="D11" s="18">
        <v>846000000</v>
      </c>
      <c r="E11" s="18">
        <v>750000000</v>
      </c>
      <c r="F11" s="6" t="s">
        <v>102</v>
      </c>
    </row>
    <row r="12" spans="1:6" x14ac:dyDescent="0.25">
      <c r="A12" t="s">
        <v>34</v>
      </c>
      <c r="B12" s="34">
        <v>619000000</v>
      </c>
      <c r="C12" s="34">
        <v>624000000</v>
      </c>
      <c r="D12" s="34">
        <v>642000000</v>
      </c>
      <c r="E12" s="34">
        <v>624000000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