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<sst xmlns="http://schemas.openxmlformats.org/spreadsheetml/2006/main" count="121" uniqueCount="108">
  <si>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GE Vernova Inc. (GEV)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</si>
  <si>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</si>
  <si>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</si>
  <si>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</si>
  <si>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</si>
  <si>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</si>
  <si>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</si>
  <si>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</si>
  <si>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</si>
  <si>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</si>
  <si>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</si>
  <si>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</si>
  <si>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</si>
  <si>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</si>
  <si>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</si>
  <si>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</si>
  <si>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</si>
  <si>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</si>
  <si>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</si>
  <si>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</si>
  <si>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</si>
  <si>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</si>
  <si>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</si>
  <si>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</si>
  <si>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</si>
  <si>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</si>
  <si>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</si>
  <si>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</si>
  <si>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</si>
  <si>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</si>
  <si>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</si>
  <si>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</si>
  <si>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</si>
  <si>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</si>
  <si>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</si>
  <si>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</si>
  <si>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</si>
  <si>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</si>
  <si>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</si>
  <si>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</si>
  <si>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</si>
  <si>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</si>
  <si>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</si>
  <si>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</si>
  <si>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</si>
  <si>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</si>
  <si>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</si>
  <si>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</si>
  <si>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</si>
  <si>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</si>
  <si>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</si>
  <si>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</si>
  <si>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</si>
  <si>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</si>
  <si>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</si>
  <si>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</si>
  <si>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</si>
  <si>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</si>
  <si>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</si>
  <si>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</si>
  <si>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</si>
  <si>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</si>
  <si>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</si>
  <si>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</si>
  <si>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</si>
  <si>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</si>
  <si>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</si>
  <si>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</si>
  <si>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</si>
  <si>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</si>
  <si>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</si>
  <si>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</si>
  <si>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</si>
  <si>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</si>
  <si>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</si>
  <si>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</si>
  <si>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</si>
  <si>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</si>
  <si>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</si>
  <si>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</si>
  <si>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</si>
  <si>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</si>
  <si>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</si>
  <si>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</si>
  <si>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</si>
  <si>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</si>
  <si>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</si>
  <si>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</si>
  <si>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</si>
  <si>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</si>
  <si>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</si>
  <si>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</si>
  <si>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</si>
  <si>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</si>
  <si>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</si>
  <si>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</si>
  <si>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</si>
  <si>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</si>
  <si>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</si>
  <si>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</si>
  <si>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</si>
  <si>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</si>
  <si>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</si>
  <si>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</si>
  <si>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</si>
  <si>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</si>
  <si>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Current EV/EBITDA of 97.6x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</si>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</sst>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0.23279823342439854</v>
      </c>
    </row>
    <row r="7" spans="1:2" x14ac:dyDescent="0.25">
      <c r="A7" t="s">
        <v>4</v>
      </c>
      <c r="B7" s="5">
        <v>-0.018738226605247963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0.036389068054885544</v>
      </c>
    </row>
    <row r="10" spans="1:3" x14ac:dyDescent="0.25">
      <c r="A10" t="s">
        <v>7</v>
      </c>
      <c r="B10" s="5">
        <v>0.024625903129315594</v>
      </c>
      <c r="C10" s="6" t="s">
        <v>8</v>
      </c>
    </row>
    <row r="11" spans="1:2" x14ac:dyDescent="0.25">
      <c r="A11" t="s">
        <v>9</v>
      </c>
      <c r="B11" s="5">
        <v>0.28311038365877517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0.09012069187439228</v>
      </c>
      <c r="C14" s="6" t="s">
        <v>13</v>
      </c>
    </row>
    <row r="15" spans="1:3" x14ac:dyDescent="0.25">
      <c r="A15" t="s">
        <v>14</v>
      </c>
      <c r="B15" s="5">
        <v>0.022456398258116975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0.9778899999999999</v>
      </c>
      <c r="C19" s="6" t="s">
        <v>21</v>
      </c>
    </row>
    <row r="20" spans="1:2" x14ac:dyDescent="0.25">
      <c r="A20" t="s">
        <v>22</v>
      </c>
      <c r="B20" s="9">
        <f>B17+B19*B18</f>
        <v>0.09030474699999999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227058515968</v>
      </c>
    </row>
    <row r="23" spans="1:2" x14ac:dyDescent="0.25">
      <c r="A23" t="s">
        <v>26</v>
      </c>
      <c r="B23" s="10">
        <v>1172000000</v>
      </c>
    </row>
    <row r="24" spans="1:2" x14ac:dyDescent="0.25">
      <c r="A24" t="s">
        <v>27</v>
      </c>
      <c r="B24" s="9">
        <f>B22/(B22+B23)</f>
        <v>0.9948648409480688</v>
      </c>
    </row>
    <row r="25" spans="1:2" x14ac:dyDescent="0.25">
      <c r="A25" t="s">
        <v>28</v>
      </c>
      <c r="B25" s="9">
        <f>1-B24</f>
        <v>0.005135159051931182</v>
      </c>
    </row>
    <row r="26" spans="1:2" x14ac:dyDescent="0.25">
      <c r="A26" t="s">
        <v>29</v>
      </c>
      <c r="B26" s="11">
        <f>B24*B20+B25*B21*(1-B8)</f>
        <v>0.09012069187439228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38068000000</v>
      </c>
      <c r="C29" s="6" t="s">
        <v>32</v>
      </c>
    </row>
    <row r="30" spans="1:2" x14ac:dyDescent="0.25">
      <c r="A30" t="s">
        <v>33</v>
      </c>
      <c r="B30" s="10">
        <v>-8142000000</v>
      </c>
    </row>
    <row r="31" spans="1:2" x14ac:dyDescent="0.25">
      <c r="A31" t="s">
        <v>34</v>
      </c>
      <c r="B31" s="12">
        <v>276000000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0.23279823342439854</v>
      </c>
      <c r="C5" s="5">
        <v>0.13944278542317412</v>
      </c>
      <c r="D5" s="5">
        <v>0.12513743724527734</v>
      </c>
      <c r="E5" s="5">
        <v>0.1108320890673806</v>
      </c>
      <c r="F5" s="5">
        <v>0.09652674088948382</v>
      </c>
      <c r="G5" s="5">
        <v>0.08222139271158706</v>
      </c>
      <c r="H5" s="5">
        <v>0.0679160445336903</v>
      </c>
      <c r="I5" s="5">
        <v>0.05361069635579352</v>
      </c>
      <c r="J5" s="5">
        <v>0.03930534817789676</v>
      </c>
      <c r="K5" s="5">
        <v>0.024999999999999994</v>
      </c>
    </row>
    <row r="6" spans="1:11" x14ac:dyDescent="0.25">
      <c r="A6" t="s">
        <v>50</v>
      </c>
      <c r="B6" s="18">
        <f>Assumptions!B29*(1+B5)</f>
        <v>46930163150</v>
      </c>
      <c r="C6" s="18">
        <f>B6*(1+C5)</f>
        <v>53474235820</v>
      </c>
      <c r="D6" s="18">
        <f>C6*(1+D5)</f>
        <v>60165864649.16441</v>
      </c>
      <c r="E6" s="18">
        <f>D6*(1+E5)</f>
        <v>66834173118.77657</v>
      </c>
      <c r="F6" s="18">
        <f>E6*(1+F5)</f>
        <v>73285458029.97563</v>
      </c>
      <c r="G6" s="18">
        <f>F6*(1+G5)</f>
        <v>79311090454.70679</v>
      </c>
      <c r="H6" s="18">
        <f>G6*(1+H5)</f>
        <v>84697586006.0442</v>
      </c>
      <c r="I6" s="18">
        <f>H6*(1+I5)</f>
        <v>89238282571.48294</v>
      </c>
      <c r="J6" s="18">
        <f>I6*(1+J5)</f>
        <v>92745824338.75261</v>
      </c>
      <c r="K6" s="18">
        <f>J6*(1+K5)</f>
        <v>95064469947.22142</v>
      </c>
    </row>
    <row r="7" spans="1:11" x14ac:dyDescent="0.25">
      <c r="A7" t="s">
        <v>4</v>
      </c>
      <c r="B7" s="9">
        <f>Assumptions!B7</f>
        <v>-0.018738226605247963</v>
      </c>
      <c r="C7" s="9">
        <f>Assumptions!B7</f>
        <v>-0.018738226605247963</v>
      </c>
      <c r="D7" s="9">
        <f>Assumptions!B7</f>
        <v>-0.018738226605247963</v>
      </c>
      <c r="E7" s="9">
        <f>Assumptions!B7</f>
        <v>-0.018738226605247963</v>
      </c>
      <c r="F7" s="9">
        <f>Assumptions!B7</f>
        <v>-0.018738226605247963</v>
      </c>
      <c r="G7" s="9">
        <f>Assumptions!B7</f>
        <v>-0.018738226605247963</v>
      </c>
      <c r="H7" s="9">
        <f>Assumptions!B7</f>
        <v>-0.018738226605247963</v>
      </c>
      <c r="I7" s="9">
        <f>Assumptions!B7</f>
        <v>-0.018738226605247963</v>
      </c>
      <c r="J7" s="9">
        <f>Assumptions!B7</f>
        <v>-0.018738226605247963</v>
      </c>
      <c r="K7" s="9">
        <f>Assumptions!B7</f>
        <v>-0.018738226605247963</v>
      </c>
    </row>
    <row r="8" spans="1:11" x14ac:dyDescent="0.25">
      <c r="A8" t="s">
        <v>51</v>
      </c>
      <c r="B8" s="18">
        <f>B6*B7</f>
        <v>-879388031.7259575</v>
      </c>
      <c r="C8" s="18">
        <f>C6*C7</f>
        <v>-1002012348.3376276</v>
      </c>
      <c r="D8" s="18">
        <f>D6*D7</f>
        <v>-1127401605.6967206</v>
      </c>
      <c r="E8" s="18">
        <f>E6*E7</f>
        <v>-1252353880.8740075</v>
      </c>
      <c r="F8" s="18">
        <f>F6*F7</f>
        <v>-1373239519.4350724</v>
      </c>
      <c r="G8" s="18">
        <f>G6*G7</f>
        <v>-1486149185.2496145</v>
      </c>
      <c r="H8" s="18">
        <f>H6*H7</f>
        <v>-1587082559.4987352</v>
      </c>
      <c r="I8" s="18">
        <f>I6*I7</f>
        <v>-1672167160.6875973</v>
      </c>
      <c r="J8" s="18">
        <f>J6*J7</f>
        <v>-1737892273.1500683</v>
      </c>
      <c r="K8" s="18">
        <f>K6*K7</f>
        <v>-1781339579.9788198</v>
      </c>
    </row>
    <row r="9" spans="1:11" x14ac:dyDescent="0.25">
      <c r="A9" t="s">
        <v>52</v>
      </c>
      <c r="B9" s="18">
        <f>B8*(1-Assumptions!B8)</f>
        <v>-694716545.0635065</v>
      </c>
      <c r="C9" s="18">
        <f>C8*(1-Assumptions!B8)</f>
        <v>-791589755.1867259</v>
      </c>
      <c r="D9" s="18">
        <f>D8*(1-Assumptions!B8)</f>
        <v>-890647268.5004094</v>
      </c>
      <c r="E9" s="18">
        <f>E8*(1-Assumptions!B8)</f>
        <v>-989359565.890466</v>
      </c>
      <c r="F9" s="18">
        <f>F8*(1-Assumptions!B8)</f>
        <v>-1084859220.3537073</v>
      </c>
      <c r="G9" s="18">
        <f>G8*(1-Assumptions!B8)</f>
        <v>-1174057856.3471954</v>
      </c>
      <c r="H9" s="18">
        <f>H8*(1-Assumptions!B8)</f>
        <v>-1253795222.004001</v>
      </c>
      <c r="I9" s="18">
        <f>I8*(1-Assumptions!B8)</f>
        <v>-1321012056.943202</v>
      </c>
      <c r="J9" s="18">
        <f>J8*(1-Assumptions!B8)</f>
        <v>-1372934895.788554</v>
      </c>
      <c r="K9" s="18">
        <f>K8*(1-Assumptions!B8)</f>
        <v>-1407258268.1832678</v>
      </c>
    </row>
    <row r="10" spans="1:11" x14ac:dyDescent="0.25">
      <c r="A10" t="s">
        <v>53</v>
      </c>
      <c r="B10" s="18">
        <f>B6*Assumptions!B9</f>
        <v>1707744900.6922317</v>
      </c>
      <c r="C10" s="18">
        <f>C6*Assumptions!B9</f>
        <v>1945877606.4369783</v>
      </c>
      <c r="D10" s="18">
        <f>D6*Assumptions!B9</f>
        <v>2189379743.299476</v>
      </c>
      <c r="E10" s="18">
        <f>E6*Assumptions!B9</f>
        <v>2432033274.0111628</v>
      </c>
      <c r="F10" s="18">
        <f>F6*Assumptions!B9</f>
        <v>2666789519.6862416</v>
      </c>
      <c r="G10" s="18">
        <f>G6*Assumptions!B9</f>
        <v>2886056668.0635085</v>
      </c>
      <c r="H10" s="18">
        <f>H6*Assumptions!B9</f>
        <v>3082066221.258464</v>
      </c>
      <c r="I10" s="18">
        <f>I6*Assumptions!B9</f>
        <v>3247297937.5947995</v>
      </c>
      <c r="J10" s="18">
        <f>J6*Assumptions!B9</f>
        <v>3374934113.6693287</v>
      </c>
      <c r="K10" s="18">
        <f>K6*Assumptions!B9</f>
        <v>3459307466.5110617</v>
      </c>
    </row>
    <row r="11" spans="1:11" x14ac:dyDescent="0.25">
      <c r="A11" t="s">
        <v>54</v>
      </c>
      <c r="B11" s="18">
        <f>-B6*B19</f>
        <v>-1155697651.5748763</v>
      </c>
      <c r="C11" s="18">
        <f>-C6*C19</f>
        <v>-1303961060.6513743</v>
      </c>
      <c r="D11" s="18">
        <f>-D6*D19</f>
        <v>-1452632057.5560057</v>
      </c>
      <c r="E11" s="18">
        <f>-E6*E19</f>
        <v>-1597519518.2363276</v>
      </c>
      <c r="F11" s="18">
        <f>-F6*F19</f>
        <v>-1734056964.3741238</v>
      </c>
      <c r="G11" s="18">
        <f>-G6*G19</f>
        <v>-1857515121.12824</v>
      </c>
      <c r="H11" s="18">
        <f>-H6*H19</f>
        <v>-1963253331.3258028</v>
      </c>
      <c r="I11" s="18">
        <f>-I6*I19</f>
        <v>-2046993277.4592066</v>
      </c>
      <c r="J11" s="18">
        <f>-J6*J19</f>
        <v>-2105094114.5379708</v>
      </c>
      <c r="K11" s="18">
        <f>-K6*K19</f>
        <v>-2134805597.3315966</v>
      </c>
    </row>
    <row r="12" spans="1:11" x14ac:dyDescent="0.25">
      <c r="A12" t="s">
        <v>55</v>
      </c>
      <c r="B12" s="18">
        <f>-(B6-Assumptions!B29)*Assumptions!B11</f>
        <v>-2508970409.4431596</v>
      </c>
      <c r="C12" s="18">
        <f>-(C6-B6)*Assumptions!B11</f>
        <v>-1852694924.2946053</v>
      </c>
      <c r="D12" s="18">
        <f>-(D6-C6)*Assumptions!B11</f>
        <v>-1894469605.1268575</v>
      </c>
      <c r="E12" s="18">
        <f>-(E6-D6)*Assumptions!B11</f>
        <v>-1887867369.1869583</v>
      </c>
      <c r="F12" s="18">
        <f>-(F6-E6)*Assumptions!B11</f>
        <v>-1826425746.3016326</v>
      </c>
      <c r="G12" s="18">
        <f>-(G6-F6)*Assumptions!B11</f>
        <v>-1705919107.5523932</v>
      </c>
      <c r="H12" s="18">
        <f>-(H6-G6)*Assumptions!B11</f>
        <v>-1524972822.115422</v>
      </c>
      <c r="I12" s="18">
        <f>-(I6-H6)*Assumptions!B11</f>
        <v>-1285518346.7194433</v>
      </c>
      <c r="J12" s="18">
        <f>-(J6-I6)*Assumptions!B11</f>
        <v>-993021495.4308941</v>
      </c>
      <c r="K12" s="18">
        <f>-(K6-J6)*Assumptions!B11</f>
        <v>-656432647.7823393</v>
      </c>
    </row>
    <row r="13" spans="1:11" x14ac:dyDescent="0.25">
      <c r="A13" s="19" t="s">
        <v>56</v>
      </c>
      <c r="B13" s="20">
        <f>B9+B10+B11+B12</f>
        <v>-2651639705.389311</v>
      </c>
      <c r="C13" s="20">
        <f>C9+C10+C11+C12</f>
        <v>-2002368133.695727</v>
      </c>
      <c r="D13" s="20">
        <f>D9+D10+D11+D12</f>
        <v>-2048369187.8837965</v>
      </c>
      <c r="E13" s="20">
        <f>E9+E10+E11+E12</f>
        <v>-2042713179.3025892</v>
      </c>
      <c r="F13" s="20">
        <f>F9+F10+F11+F12</f>
        <v>-1978552411.3432221</v>
      </c>
      <c r="G13" s="20">
        <f>G9+G10+G11+G12</f>
        <v>-1851435416.9643202</v>
      </c>
      <c r="H13" s="20">
        <f>H9+H10+H11+H12</f>
        <v>-1659955154.1867619</v>
      </c>
      <c r="I13" s="20">
        <f>I9+I10+I11+I12</f>
        <v>-1406225743.5270524</v>
      </c>
      <c r="J13" s="20">
        <f>J9+J10+J11+J12</f>
        <v>-1096116392.0880902</v>
      </c>
      <c r="K13" s="20">
        <f>K9+K10+K11+K12</f>
        <v>-739189046.7861421</v>
      </c>
    </row>
    <row r="14" spans="1:11" x14ac:dyDescent="0.25">
      <c r="A14" t="s">
        <v>57</v>
      </c>
      <c r="B14" s="21">
        <f>1/(1+Assumptions!$B$26)^(1-0.5*Assumptions!$B$32)</f>
        <v>0.9577732612530547</v>
      </c>
      <c r="C14" s="21">
        <f>1/(1+Assumptions!$B$26)^(2-0.5*Assumptions!$B$32)</f>
        <v>0.8785937817639489</v>
      </c>
      <c r="D14" s="21">
        <f>1/(1+Assumptions!$B$26)^(3-0.5*Assumptions!$B$32)</f>
        <v>0.8059600999346812</v>
      </c>
      <c r="E14" s="21">
        <f>1/(1+Assumptions!$B$26)^(4-0.5*Assumptions!$B$32)</f>
        <v>0.7393310721851217</v>
      </c>
      <c r="F14" s="21">
        <f>1/(1+Assumptions!$B$26)^(5-0.5*Assumptions!$B$32)</f>
        <v>0.6782102914805604</v>
      </c>
      <c r="G14" s="21">
        <f>1/(1+Assumptions!$B$26)^(6-0.5*Assumptions!$B$32)</f>
        <v>0.6221423889444954</v>
      </c>
      <c r="H14" s="21">
        <f>1/(1+Assumptions!$B$26)^(7-0.5*Assumptions!$B$32)</f>
        <v>0.5707096412184981</v>
      </c>
      <c r="I14" s="21">
        <f>1/(1+Assumptions!$B$26)^(8-0.5*Assumptions!$B$32)</f>
        <v>0.5235288582929287</v>
      </c>
      <c r="J14" s="21">
        <f>1/(1+Assumptions!$B$26)^(9-0.5*Assumptions!$B$32)</f>
        <v>0.48024852862186723</v>
      </c>
      <c r="K14" s="21">
        <f>1/(1+Assumptions!$B$26)^(10-0.5*Assumptions!$B$32)</f>
        <v>0.4405462002524792</v>
      </c>
    </row>
    <row r="15" spans="1:11" x14ac:dyDescent="0.25">
      <c r="A15" s="19" t="s">
        <v>58</v>
      </c>
      <c r="B15" s="20">
        <f>B13*B14</f>
        <v>-2539669608.2988095</v>
      </c>
      <c r="C15" s="20">
        <f>C13*C14</f>
        <v>-1759268191.0673492</v>
      </c>
      <c r="D15" s="20">
        <f>D13*D14</f>
        <v>-1650903835.3699465</v>
      </c>
      <c r="E15" s="20">
        <f>E13*E14</f>
        <v>-1510241325.020462</v>
      </c>
      <c r="F15" s="20">
        <f>F13*F14</f>
        <v>-1341874607.6066525</v>
      </c>
      <c r="G15" s="20">
        <f>G13*G14</f>
        <v>-1151856453.28663</v>
      </c>
      <c r="H15" s="20">
        <f>H13*H14</f>
        <v>-947352410.4847236</v>
      </c>
      <c r="I15" s="20">
        <f>I13*I14</f>
        <v>-736199758.0108426</v>
      </c>
      <c r="J15" s="20">
        <f>J13*J14</f>
        <v>-526408284.498615</v>
      </c>
      <c r="K15" s="20">
        <f>K13*K14</f>
        <v>-325646925.829887</v>
      </c>
    </row>
    <row r="17" spans="1:2" x14ac:dyDescent="0.25">
      <c r="A17" s="22" t="s">
        <v>59</v>
      </c>
      <c r="B17" s="23">
        <f>SUM(B15:K15)</f>
        <v>-12489421399.47392</v>
      </c>
    </row>
    <row r="19" spans="1:11" x14ac:dyDescent="0.25">
      <c r="A19" t="s">
        <v>7</v>
      </c>
      <c r="B19" s="9">
        <f>Assumptions!$B$10+($B$20-Assumptions!$B$10)*0/9</f>
        <v>0.024625903129315594</v>
      </c>
      <c r="C19" s="9">
        <f>Assumptions!$B$10+($B$20-Assumptions!$B$10)*1/9</f>
        <v>0.024384847032515748</v>
      </c>
      <c r="D19" s="9">
        <f>Assumptions!$B$10+($B$20-Assumptions!$B$10)*2/9</f>
        <v>0.024143790935715902</v>
      </c>
      <c r="E19" s="9">
        <f>Assumptions!$B$10+($B$20-Assumptions!$B$10)*3/9</f>
        <v>0.023902734838916053</v>
      </c>
      <c r="F19" s="9">
        <f>Assumptions!$B$10+($B$20-Assumptions!$B$10)*4/9</f>
        <v>0.023661678742116207</v>
      </c>
      <c r="G19" s="9">
        <f>Assumptions!$B$10+($B$20-Assumptions!$B$10)*5/9</f>
        <v>0.02342062264531636</v>
      </c>
      <c r="H19" s="9">
        <f>Assumptions!$B$10+($B$20-Assumptions!$B$10)*6/9</f>
        <v>0.023179566548516516</v>
      </c>
      <c r="I19" s="9">
        <f>Assumptions!$B$10+($B$20-Assumptions!$B$10)*7/9</f>
        <v>0.022938510451716666</v>
      </c>
      <c r="J19" s="9">
        <f>Assumptions!$B$10+($B$20-Assumptions!$B$10)*8/9</f>
        <v>0.02269745435491682</v>
      </c>
      <c r="K19" s="9">
        <f>Assumptions!$B$10+($B$20-Assumptions!$B$10)*9/9</f>
        <v>0.022456398258116975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0.022456398258116975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-739189046.7861421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-360901791.5314903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0.2774057708616386</v>
      </c>
    </row>
    <row r="7" spans="1:2" x14ac:dyDescent="0.25">
      <c r="A7" t="s">
        <v>66</v>
      </c>
      <c r="B7" s="18">
        <f>-MAX(B5,0)*B6</f>
        <v>0</v>
      </c>
    </row>
    <row r="8" spans="1:2" x14ac:dyDescent="0.25">
      <c r="A8" t="s">
        <v>67</v>
      </c>
      <c r="B8" s="18">
        <f>IF(OR(Assumptions!$B$33=0,Assumptions!B12&lt;=0),B5,MAX(B5+B7,0))</f>
        <v>0</v>
      </c>
    </row>
    <row r="9" spans="1:2" x14ac:dyDescent="0.25">
      <c r="A9" t="s">
        <v>68</v>
      </c>
      <c r="B9" s="18">
        <f>B8*(1+Assumptions!B12)/(Assumptions!B26-Assumptions!B12)</f>
        <v>0</v>
      </c>
    </row>
    <row r="10" spans="1:2" x14ac:dyDescent="0.25">
      <c r="A10" t="s">
        <v>69</v>
      </c>
      <c r="B10" s="18">
        <f>B9/(1+Assumptions!B26)^(10-0.5*Assumptions!B32)</f>
        <v>0</v>
      </c>
    </row>
    <row r="11" spans="1:2" x14ac:dyDescent="0.25">
      <c r="A11" t="s">
        <v>70</v>
      </c>
      <c r="B11" s="18">
        <f>Forecast!B17+B10</f>
        <v>-12489421399.47392</v>
      </c>
    </row>
    <row r="12" spans="1:2" x14ac:dyDescent="0.25">
      <c r="A12" t="s">
        <v>71</v>
      </c>
      <c r="B12" s="18">
        <f>-Assumptions!B30</f>
        <v>8142000000</v>
      </c>
    </row>
    <row r="13" spans="1:2" x14ac:dyDescent="0.25">
      <c r="A13" t="s">
        <v>72</v>
      </c>
      <c r="B13" s="18">
        <f>B11+B12</f>
        <v>-4347421399.473921</v>
      </c>
    </row>
    <row r="14" spans="1:2" x14ac:dyDescent="0.25">
      <c r="A14" s="19" t="s">
        <v>73</v>
      </c>
      <c r="B14" s="24">
        <f>B13/Assumptions!B31</f>
        <v>-15.75152680968812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1677967886.5322418</v>
      </c>
    </row>
    <row r="18" spans="1:2" x14ac:dyDescent="0.25">
      <c r="A18" t="s">
        <v>68</v>
      </c>
      <c r="B18" s="18">
        <f>B17*Assumptions!B13</f>
        <v>33559357730.644836</v>
      </c>
    </row>
    <row r="19" spans="1:2" x14ac:dyDescent="0.25">
      <c r="A19" t="s">
        <v>69</v>
      </c>
      <c r="B19" s="18">
        <f>B18/(1+Assumptions!B26)^(10-0.5*Assumptions!B32)</f>
        <v>14784447531.149246</v>
      </c>
    </row>
    <row r="20" spans="1:2" x14ac:dyDescent="0.25">
      <c r="A20" t="s">
        <v>70</v>
      </c>
      <c r="B20" s="18">
        <f>Forecast!B17+B19</f>
        <v>2295026131.6753254</v>
      </c>
    </row>
    <row r="21" spans="1:2" x14ac:dyDescent="0.25">
      <c r="A21" t="s">
        <v>71</v>
      </c>
      <c r="B21" s="18">
        <f>-Assumptions!B30</f>
        <v>8142000000</v>
      </c>
    </row>
    <row r="22" spans="1:2" x14ac:dyDescent="0.25">
      <c r="A22" t="s">
        <v>72</v>
      </c>
      <c r="B22" s="18">
        <f>B20+B21</f>
        <v>10437026131.675325</v>
      </c>
    </row>
    <row r="23" spans="1:2" x14ac:dyDescent="0.25">
      <c r="A23" s="19" t="s">
        <v>73</v>
      </c>
      <c r="B23" s="25">
        <f>B22/Assumptions!B31</f>
        <v>37.81531207128741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857.87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-15.75152680968812</v>
      </c>
    </row>
    <row r="29" spans="1:2" x14ac:dyDescent="0.25">
      <c r="A29" s="19" t="s">
        <v>81</v>
      </c>
      <c r="B29" s="11">
        <f>B28/B26-1</f>
        <v>-1.0183612048558501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0.070121</v>
      </c>
      <c r="B5" s="31">
        <v>-18.924736891174454</v>
      </c>
      <c r="C5" s="31">
        <v>-18.924736891174454</v>
      </c>
      <c r="D5" s="31">
        <v>-18.924736891174454</v>
      </c>
      <c r="E5" s="31">
        <v>-18.924736891174454</v>
      </c>
      <c r="F5" s="31">
        <v>-18.924736891174454</v>
      </c>
    </row>
    <row r="6" spans="1:6" x14ac:dyDescent="0.25">
      <c r="A6" s="30">
        <v>0.080121</v>
      </c>
      <c r="B6" s="31">
        <v>-17.29046550663139</v>
      </c>
      <c r="C6" s="31">
        <v>-17.29046550663139</v>
      </c>
      <c r="D6" s="31">
        <v>-17.29046550663139</v>
      </c>
      <c r="E6" s="31">
        <v>-17.29046550663139</v>
      </c>
      <c r="F6" s="31">
        <v>-17.29046550663139</v>
      </c>
    </row>
    <row r="7" spans="1:6" x14ac:dyDescent="0.25">
      <c r="A7" s="30">
        <v>0.090121</v>
      </c>
      <c r="B7" s="31">
        <v>-15.751480783526931</v>
      </c>
      <c r="C7" s="31">
        <v>-15.751480783526931</v>
      </c>
      <c r="D7" s="32">
        <v>-15.751480783526931</v>
      </c>
      <c r="E7" s="31">
        <v>-15.751480783526931</v>
      </c>
      <c r="F7" s="31">
        <v>-15.751480783526931</v>
      </c>
    </row>
    <row r="8" spans="1:6" x14ac:dyDescent="0.25">
      <c r="A8" s="30">
        <v>0.100121</v>
      </c>
      <c r="B8" s="31">
        <v>-14.300730045411</v>
      </c>
      <c r="C8" s="31">
        <v>-14.300730045411</v>
      </c>
      <c r="D8" s="31">
        <v>-14.300730045411</v>
      </c>
      <c r="E8" s="31">
        <v>-14.300730045411</v>
      </c>
      <c r="F8" s="31">
        <v>-14.300730045411</v>
      </c>
    </row>
    <row r="9" spans="1:6" x14ac:dyDescent="0.25">
      <c r="A9" s="30">
        <v>0.110121</v>
      </c>
      <c r="B9" s="31">
        <v>-12.931772081489335</v>
      </c>
      <c r="C9" s="31">
        <v>-12.931772081489335</v>
      </c>
      <c r="D9" s="31">
        <v>-12.931772081489335</v>
      </c>
      <c r="E9" s="31">
        <v>-12.931772081489335</v>
      </c>
      <c r="F9" s="31">
        <v>-12.931772081489335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38068000000</v>
      </c>
      <c r="C5" s="18">
        <v>34935000000</v>
      </c>
      <c r="D5" s="18">
        <v>33239000000</v>
      </c>
      <c r="E5" s="18">
        <v>29654000000</v>
      </c>
      <c r="F5" s="6" t="s">
        <v>91</v>
      </c>
    </row>
    <row r="6" spans="1:6" x14ac:dyDescent="0.25">
      <c r="A6" t="s">
        <v>51</v>
      </c>
      <c r="B6" s="18">
        <v>1389000000</v>
      </c>
      <c r="C6" s="18">
        <v>471000000</v>
      </c>
      <c r="D6" s="18">
        <v>-923000000</v>
      </c>
      <c r="E6" s="18">
        <v>-2881000000</v>
      </c>
      <c r="F6" s="6" t="s">
        <v>92</v>
      </c>
    </row>
    <row r="7" spans="1:6" x14ac:dyDescent="0.25">
      <c r="A7" t="s">
        <v>93</v>
      </c>
      <c r="B7" s="18">
        <v>853000000</v>
      </c>
      <c r="C7" s="18">
        <v>1172000000</v>
      </c>
      <c r="D7" s="18">
        <v>964000000</v>
      </c>
      <c r="E7" s="18">
        <v>1797000000</v>
      </c>
      <c r="F7" s="6" t="s">
        <v>94</v>
      </c>
    </row>
    <row r="8" spans="1:6" x14ac:dyDescent="0.25">
      <c r="A8" t="s">
        <v>95</v>
      </c>
      <c r="B8" s="18">
        <v>1277000000</v>
      </c>
      <c r="C8" s="18">
        <v>883000000</v>
      </c>
      <c r="D8" s="18">
        <v>744000000</v>
      </c>
      <c r="E8" s="18">
        <v>513000000</v>
      </c>
      <c r="F8" s="6" t="s">
        <v>96</v>
      </c>
    </row>
    <row r="9" spans="1:6" x14ac:dyDescent="0.25">
      <c r="A9" t="s">
        <v>97</v>
      </c>
      <c r="B9" s="18">
        <v>-4097000000</v>
      </c>
      <c r="C9" s="18">
        <v>-1119000000</v>
      </c>
      <c r="D9" s="18">
        <v>-1130000000</v>
      </c>
      <c r="E9" s="18">
        <v>-579000000</v>
      </c>
      <c r="F9" s="6" t="s">
        <v>98</v>
      </c>
    </row>
    <row r="10" spans="1:6" x14ac:dyDescent="0.25">
      <c r="A10" t="s">
        <v>99</v>
      </c>
      <c r="B10" s="18">
        <v>1172000000</v>
      </c>
      <c r="C10" s="18">
        <v>1043000000</v>
      </c>
      <c r="D10" s="18">
        <v>1157000000</v>
      </c>
      <c r="E10" s="18">
        <v>1144000000</v>
      </c>
      <c r="F10" s="6" t="s">
        <v>100</v>
      </c>
    </row>
    <row r="11" spans="1:6" x14ac:dyDescent="0.25">
      <c r="A11" t="s">
        <v>101</v>
      </c>
      <c r="B11" s="18">
        <v>9314000000</v>
      </c>
      <c r="C11" s="18">
        <v>8205000000</v>
      </c>
      <c r="D11" s="18">
        <v>1551000000</v>
      </c>
      <c r="E11" s="18">
        <v>2067000000</v>
      </c>
      <c r="F11" s="6" t="s">
        <v>102</v>
      </c>
    </row>
    <row r="12" spans="1:6" x14ac:dyDescent="0.25">
      <c r="A12" t="s">
        <v>34</v>
      </c>
      <c r="B12" s="34">
        <v>276000000</v>
      </c>
      <c r="C12" s="34">
        <v>278000000</v>
      </c>
      <c r="D12" s="34">
        <v>274085523</v>
      </c>
      <c r="E12" s="34">
        <v>272083576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