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<sst xmlns="http://schemas.openxmlformats.org/spreadsheetml/2006/main" count="112" uniqueCount="100">
  <si>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Greatland Resources Limited (GGP.AX)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</si>
  <si>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</si>
  <si>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</si>
  <si>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</si>
  <si>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</si>
  <si>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</si>
  <si>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</si>
  <si>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</si>
  <si>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</si>
  <si>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</si>
  <si>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</si>
  <si>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</si>
  <si>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</si>
  <si>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</si>
  <si>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</si>
  <si>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</si>
  <si>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</si>
  <si>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</si>
  <si>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</si>
  <si>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</si>
  <si>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</si>
  <si>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</si>
  <si>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30.3%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</si>
  <si>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</si>
  <si>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</si>
  <si>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</si>
  <si>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</si>
  <si>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</si>
  <si>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</si>
  <si>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</si>
  <si>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</si>
  <si>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</si>
  <si>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</si>
  <si>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</si>
  <si>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</si>
  <si>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</si>
  <si>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</si>
  <si>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</si>
  <si>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</si>
  <si>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</si>
  <si>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</si>
  <si>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</si>
  <si>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</si>
  <si>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</si>
  <si>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</si>
  <si>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</si>
  <si>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</si>
  <si>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</si>
  <si>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</si>
  <si>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</si>
  <si>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</si>
  <si>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</si>
  <si>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</si>
  <si>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</si>
  <si>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</si>
  <si>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</si>
  <si>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</si>
  <si>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</si>
  <si>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</si>
  <si>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</si>
  <si>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</si>
  <si>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</si>
  <si>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</si>
  <si>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</si>
  <si>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</si>
  <si>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</si>
  <si>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</si>
  <si>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</si>
  <si>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</si>
  <si>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</si>
  <si>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</si>
  <si>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</si>
  <si>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</si>
  <si>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</si>
  <si>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</si>
  <si>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</si>
  <si>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</si>
  <si>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</si>
  <si>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</si>
  <si>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</si>
  <si>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</si>
  <si>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</si>
  <si>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</si>
  <si>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</si>
  <si>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</si>
  <si>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</si>
  <si>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</si>
  <si>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</si>
  <si>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</si>
  <si>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</si>
  <si>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</si>
  <si>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</si>
  <si>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</si>
  <si>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</si>
  <si>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</si>
  <si>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</si>
  <si>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</si>
  <si>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Only 2 year(s) of history available to anchor assumptions on.</t>
  </si>
  <si>
    <t>Adjusted: Capital expenditure runs at 19.6% of revenue against depreciation of 5.3%.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</si>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</sst>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0.49622018889455255</v>
      </c>
    </row>
    <row r="8" spans="1:2" x14ac:dyDescent="0.25">
      <c r="A8" t="s">
        <v>6</v>
      </c>
      <c r="B8" s="6">
        <v>0.269689879275366</v>
      </c>
    </row>
    <row r="9" spans="1:2" x14ac:dyDescent="0.25">
      <c r="A9" t="s">
        <v>7</v>
      </c>
      <c r="B9" s="6">
        <v>0.053239997252850044</v>
      </c>
    </row>
    <row r="10" spans="1:2" x14ac:dyDescent="0.25">
      <c r="A10" t="s">
        <v>8</v>
      </c>
      <c r="B10" s="6">
        <v>0.1956182157019541</v>
      </c>
    </row>
    <row r="11" spans="1:2" x14ac:dyDescent="0.25">
      <c r="A11" t="s">
        <v>9</v>
      </c>
      <c r="B11" s="6">
        <v>0.09683833779440171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4.6504776231790395</v>
      </c>
    </row>
    <row r="14" spans="1:3" x14ac:dyDescent="0.25">
      <c r="A14" t="s">
        <v>12</v>
      </c>
      <c r="B14" s="6">
        <v>0.3165111708368491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</v>
      </c>
      <c r="C19" s="8" t="s">
        <v>19</v>
      </c>
    </row>
    <row r="20" spans="1:2" x14ac:dyDescent="0.25">
      <c r="A20" t="s">
        <v>20</v>
      </c>
      <c r="B20" s="10">
        <f>B17+B19*B18</f>
        <v>0.11348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7455074816</v>
      </c>
    </row>
    <row r="23" spans="1:2" x14ac:dyDescent="0.25">
      <c r="A23" t="s">
        <v>24</v>
      </c>
      <c r="B23" s="11">
        <v>22184000</v>
      </c>
    </row>
    <row r="24" spans="1:2" x14ac:dyDescent="0.25">
      <c r="A24" t="s">
        <v>25</v>
      </c>
      <c r="B24" s="10">
        <f>B22/(B22+B23)</f>
        <v>0.9970331373373715</v>
      </c>
    </row>
    <row r="25" spans="1:2" x14ac:dyDescent="0.25">
      <c r="A25" t="s">
        <v>26</v>
      </c>
      <c r="B25" s="10">
        <f>1-B24</f>
        <v>0.0029668626626284667</v>
      </c>
    </row>
    <row r="26" spans="1:2" x14ac:dyDescent="0.25">
      <c r="A26" t="s">
        <v>27</v>
      </c>
      <c r="B26" s="12">
        <f>B24*B20+B25*B21*(1-B8)</f>
        <v>0.11330253173290318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2259372000</v>
      </c>
      <c r="C29" s="8" t="s">
        <v>30</v>
      </c>
    </row>
    <row r="30" spans="1:2" x14ac:dyDescent="0.25">
      <c r="A30" t="s">
        <v>31</v>
      </c>
      <c r="B30" s="11">
        <v>-1266754000</v>
      </c>
    </row>
    <row r="31" spans="1:2" x14ac:dyDescent="0.25">
      <c r="A31" t="s">
        <v>32</v>
      </c>
      <c r="B31" s="13">
        <v>686432893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3389058000</v>
      </c>
      <c r="C6" s="18">
        <f>B6*(1+C5)</f>
        <v>5083587000</v>
      </c>
      <c r="D6" s="18">
        <f>C6*(1+D5)</f>
        <v>7625380500</v>
      </c>
      <c r="E6" s="18">
        <f>D6*(1+E5)</f>
        <v>11438070750</v>
      </c>
      <c r="F6" s="18">
        <f>E6*(1+F5)</f>
        <v>17157106125</v>
      </c>
    </row>
    <row r="7" spans="1:6" x14ac:dyDescent="0.25">
      <c r="A7" t="s">
        <v>5</v>
      </c>
      <c r="B7" s="10">
        <f>Assumptions!B7</f>
        <v>0.49622018889455255</v>
      </c>
      <c r="C7" s="10">
        <f>Assumptions!B7</f>
        <v>0.49622018889455255</v>
      </c>
      <c r="D7" s="10">
        <f>Assumptions!B7</f>
        <v>0.49622018889455255</v>
      </c>
      <c r="E7" s="10">
        <f>Assumptions!B7</f>
        <v>0.49622018889455255</v>
      </c>
      <c r="F7" s="10">
        <f>Assumptions!B7</f>
        <v>0.49622018889455255</v>
      </c>
    </row>
    <row r="8" spans="1:6" x14ac:dyDescent="0.25">
      <c r="A8" t="s">
        <v>44</v>
      </c>
      <c r="B8" s="18">
        <f>B6*B7</f>
        <v>1681719000.9345944</v>
      </c>
      <c r="C8" s="18">
        <f>C6*C7</f>
        <v>2522578501.4018917</v>
      </c>
      <c r="D8" s="18">
        <f>D6*D7</f>
        <v>3783867752.1028376</v>
      </c>
      <c r="E8" s="18">
        <f>E6*E7</f>
        <v>5675801628.154257</v>
      </c>
      <c r="F8" s="18">
        <f>F6*F7</f>
        <v>8513702442.231384</v>
      </c>
    </row>
    <row r="9" spans="1:6" x14ac:dyDescent="0.25">
      <c r="A9" t="s">
        <v>45</v>
      </c>
      <c r="B9" s="18">
        <f>B8*(1-Assumptions!B8)</f>
        <v>1228176406.5974545</v>
      </c>
      <c r="C9" s="18">
        <f>C8*(1-Assumptions!B8)</f>
        <v>1842264609.896182</v>
      </c>
      <c r="D9" s="18">
        <f>D8*(1-Assumptions!B8)</f>
        <v>2763396914.844273</v>
      </c>
      <c r="E9" s="18">
        <f>E8*(1-Assumptions!B8)</f>
        <v>4145095372.26641</v>
      </c>
      <c r="F9" s="18">
        <f>F8*(1-Assumptions!B8)</f>
        <v>6217643058.399614</v>
      </c>
    </row>
    <row r="10" spans="1:6" x14ac:dyDescent="0.25">
      <c r="A10" t="s">
        <v>46</v>
      </c>
      <c r="B10" s="18">
        <f>B6*Assumptions!B9</f>
        <v>180433438.60974947</v>
      </c>
      <c r="C10" s="18">
        <f>C6*Assumptions!B9</f>
        <v>270650157.9146242</v>
      </c>
      <c r="D10" s="18">
        <f>D6*Assumptions!B9</f>
        <v>405975236.8719363</v>
      </c>
      <c r="E10" s="18">
        <f>E6*Assumptions!B9</f>
        <v>608962855.3079045</v>
      </c>
      <c r="F10" s="18">
        <f>F6*Assumptions!B9</f>
        <v>913444282.9618566</v>
      </c>
    </row>
    <row r="11" spans="1:6" x14ac:dyDescent="0.25">
      <c r="A11" t="s">
        <v>47</v>
      </c>
      <c r="B11" s="18">
        <f>-B6*Assumptions!B10</f>
        <v>-662961478.8704331</v>
      </c>
      <c r="C11" s="18">
        <f>-C6*Assumptions!B10</f>
        <v>-994442218.3056496</v>
      </c>
      <c r="D11" s="18">
        <f>-D6*Assumptions!B10</f>
        <v>-1491663327.4584746</v>
      </c>
      <c r="E11" s="18">
        <f>-E6*Assumptions!B10</f>
        <v>-2237494991.1877117</v>
      </c>
      <c r="F11" s="18">
        <f>-F6*Assumptions!B10</f>
        <v>-3356242486.7815676</v>
      </c>
    </row>
    <row r="12" spans="1:6" x14ac:dyDescent="0.25">
      <c r="A12" t="s">
        <v>48</v>
      </c>
      <c r="B12" s="18">
        <f>-(B6-Assumptions!B29)*Assumptions!B11</f>
        <v>-109396914.46960649</v>
      </c>
      <c r="C12" s="18">
        <f>-(C6-B6)*Assumptions!B11</f>
        <v>-164095371.70440972</v>
      </c>
      <c r="D12" s="18">
        <f>-(D6-C6)*Assumptions!B11</f>
        <v>-246143057.5566146</v>
      </c>
      <c r="E12" s="18">
        <f>-(E6-D6)*Assumptions!B11</f>
        <v>-369214586.3349219</v>
      </c>
      <c r="F12" s="18">
        <f>-(F6-E6)*Assumptions!B11</f>
        <v>-553821879.5023829</v>
      </c>
    </row>
    <row r="13" spans="1:6" x14ac:dyDescent="0.25">
      <c r="A13" s="19" t="s">
        <v>49</v>
      </c>
      <c r="B13" s="20">
        <f>B9+B10+B11+B12</f>
        <v>636251451.8671645</v>
      </c>
      <c r="C13" s="20">
        <f>C9+C10+C11+C12</f>
        <v>954377177.8007468</v>
      </c>
      <c r="D13" s="20">
        <f>D9+D10+D11+D12</f>
        <v>1431565766.7011201</v>
      </c>
      <c r="E13" s="20">
        <f>E9+E10+E11+E12</f>
        <v>2147348650.0516806</v>
      </c>
      <c r="F13" s="20">
        <f>F9+F10+F11+F12</f>
        <v>3221022975.077521</v>
      </c>
    </row>
    <row r="14" spans="1:6" x14ac:dyDescent="0.25">
      <c r="A14" t="s">
        <v>50</v>
      </c>
      <c r="B14" s="21">
        <f>1/(1+Assumptions!$B$26)^(1-0.5*Assumptions!$B$32)</f>
        <v>0.9477491457657167</v>
      </c>
      <c r="C14" s="21">
        <f>1/(1+Assumptions!$B$26)^(2-0.5*Assumptions!$B$32)</f>
        <v>0.8512952398397086</v>
      </c>
      <c r="D14" s="21">
        <f>1/(1+Assumptions!$B$26)^(3-0.5*Assumptions!$B$32)</f>
        <v>0.7646575980696197</v>
      </c>
      <c r="E14" s="21">
        <f>1/(1+Assumptions!$B$26)^(4-0.5*Assumptions!$B$32)</f>
        <v>0.6868372039713208</v>
      </c>
      <c r="F14" s="21">
        <f>1/(1+Assumptions!$B$26)^(5-0.5*Assumptions!$B$32)</f>
        <v>0.6169367125234405</v>
      </c>
    </row>
    <row r="15" spans="1:6" x14ac:dyDescent="0.25">
      <c r="A15" s="19" t="s">
        <v>51</v>
      </c>
      <c r="B15" s="20">
        <f>B13*B14</f>
        <v>603006769.9993021</v>
      </c>
      <c r="C15" s="20">
        <f>C13*C14</f>
        <v>812456748.4734309</v>
      </c>
      <c r="D15" s="20">
        <f>D13*D14</f>
        <v>1094657640.6443722</v>
      </c>
      <c r="E15" s="20">
        <f>E13*E14</f>
        <v>1474878942.7530863</v>
      </c>
      <c r="F15" s="20">
        <f>F13*F14</f>
        <v>1987167325.2067976</v>
      </c>
    </row>
    <row r="17" spans="1:2" x14ac:dyDescent="0.25">
      <c r="A17" s="22" t="s">
        <v>52</v>
      </c>
      <c r="B17" s="23">
        <f>SUM(B15:F15)</f>
        <v>5972167427.076989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3221022975.077521</v>
      </c>
    </row>
    <row r="5" spans="1:2" x14ac:dyDescent="0.25">
      <c r="A5" t="s">
        <v>56</v>
      </c>
      <c r="B5" s="18">
        <f>IF(Assumptions!$B$33=0,B4,B4-Forecast!F11-Forecast!F10-Forecast!F12)</f>
        <v>6217643058.399614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0.0789861537395363</v>
      </c>
    </row>
    <row r="7" spans="1:2" x14ac:dyDescent="0.25">
      <c r="A7" t="s">
        <v>58</v>
      </c>
      <c r="B7" s="18">
        <f>-MAX(Forecast!F9,0)*B6</f>
        <v>-491107710.5083126</v>
      </c>
    </row>
    <row r="8" spans="1:2" x14ac:dyDescent="0.25">
      <c r="A8" t="s">
        <v>59</v>
      </c>
      <c r="B8" s="18">
        <f>IF(OR(Assumptions!$B$33=0,Assumptions!B12&lt;=0),B5,MAX(B5+B7,0))</f>
        <v>5726535347.891302</v>
      </c>
    </row>
    <row r="9" spans="1:2" x14ac:dyDescent="0.25">
      <c r="A9" t="s">
        <v>60</v>
      </c>
      <c r="B9" s="18">
        <f>B8*(1+Assumptions!B12)/(Assumptions!B26-Assumptions!B12)</f>
        <v>66472598422.695335</v>
      </c>
    </row>
    <row r="10" spans="1:2" x14ac:dyDescent="0.25">
      <c r="A10" t="s">
        <v>61</v>
      </c>
      <c r="B10" s="18">
        <f>B9/(1+Assumptions!B26)^(5-0.5*Assumptions!B32)</f>
        <v>41009386343.7885</v>
      </c>
    </row>
    <row r="11" spans="1:2" x14ac:dyDescent="0.25">
      <c r="A11" t="s">
        <v>62</v>
      </c>
      <c r="B11" s="18">
        <f>Forecast!B17+B10</f>
        <v>46981553770.865486</v>
      </c>
    </row>
    <row r="12" spans="1:2" x14ac:dyDescent="0.25">
      <c r="A12" t="s">
        <v>63</v>
      </c>
      <c r="B12" s="18">
        <f>-Assumptions!B30</f>
        <v>1266754000</v>
      </c>
    </row>
    <row r="13" spans="1:2" x14ac:dyDescent="0.25">
      <c r="A13" t="s">
        <v>64</v>
      </c>
      <c r="B13" s="18">
        <f>B11+B12</f>
        <v>48248307770.865486</v>
      </c>
    </row>
    <row r="14" spans="1:2" x14ac:dyDescent="0.25">
      <c r="A14" s="19" t="s">
        <v>65</v>
      </c>
      <c r="B14" s="24">
        <f>B13/Assumptions!B31</f>
        <v>70.2884553798116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9427146725.193241</v>
      </c>
    </row>
    <row r="18" spans="1:2" x14ac:dyDescent="0.25">
      <c r="A18" t="s">
        <v>60</v>
      </c>
      <c r="B18" s="18">
        <f>B17*Assumptions!B13</f>
        <v>43840734895.93673</v>
      </c>
    </row>
    <row r="19" spans="1:2" x14ac:dyDescent="0.25">
      <c r="A19" t="s">
        <v>61</v>
      </c>
      <c r="B19" s="18">
        <f>B18/(1+Assumptions!B26)^(5-0.5*Assumptions!B32)</f>
        <v>27046958861.310886</v>
      </c>
    </row>
    <row r="20" spans="1:2" x14ac:dyDescent="0.25">
      <c r="A20" t="s">
        <v>62</v>
      </c>
      <c r="B20" s="18">
        <f>Forecast!B17+B19</f>
        <v>33019126288.387875</v>
      </c>
    </row>
    <row r="21" spans="1:2" x14ac:dyDescent="0.25">
      <c r="A21" t="s">
        <v>63</v>
      </c>
      <c r="B21" s="18">
        <f>-Assumptions!B30</f>
        <v>1266754000</v>
      </c>
    </row>
    <row r="22" spans="1:2" x14ac:dyDescent="0.25">
      <c r="A22" t="s">
        <v>64</v>
      </c>
      <c r="B22" s="18">
        <f>B20+B21</f>
        <v>34285880288.387875</v>
      </c>
    </row>
    <row r="23" spans="1:2" x14ac:dyDescent="0.25">
      <c r="A23" s="19" t="s">
        <v>65</v>
      </c>
      <c r="B23" s="25">
        <f>B22/Assumptions!B31</f>
        <v>49.94789824034245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11.05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70.2884553798116</v>
      </c>
    </row>
    <row r="29" spans="1:2" x14ac:dyDescent="0.25">
      <c r="A29" s="19" t="s">
        <v>73</v>
      </c>
      <c r="B29" s="12">
        <f>B28/B26-1</f>
        <v>5.360946188218244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0.093303</v>
      </c>
      <c r="B5" s="31">
        <v>85.91523126105923</v>
      </c>
      <c r="C5" s="31">
        <v>90.08318917382076</v>
      </c>
      <c r="D5" s="31">
        <v>94.847340167987</v>
      </c>
      <c r="E5" s="31">
        <v>100.34895552961196</v>
      </c>
      <c r="F5" s="31">
        <v>106.77776761400972</v>
      </c>
    </row>
    <row r="6" spans="1:6" x14ac:dyDescent="0.25">
      <c r="A6" s="30">
        <v>0.103303</v>
      </c>
      <c r="B6" s="31">
        <v>74.5155187792831</v>
      </c>
      <c r="C6" s="31">
        <v>77.54743560884327</v>
      </c>
      <c r="D6" s="31">
        <v>80.95481462740103</v>
      </c>
      <c r="E6" s="31">
        <v>84.8144866991088</v>
      </c>
      <c r="F6" s="31">
        <v>89.22577975681355</v>
      </c>
    </row>
    <row r="7" spans="1:6" x14ac:dyDescent="0.25">
      <c r="A7" s="30">
        <v>0.113303</v>
      </c>
      <c r="B7" s="31">
        <v>65.5100516313261</v>
      </c>
      <c r="C7" s="31">
        <v>67.77574085840739</v>
      </c>
      <c r="D7" s="32">
        <v>70.28801423849596</v>
      </c>
      <c r="E7" s="31">
        <v>73.0912730812098</v>
      </c>
      <c r="F7" s="31">
        <v>76.24125959233137</v>
      </c>
    </row>
    <row r="8" spans="1:6" x14ac:dyDescent="0.25">
      <c r="A8" s="30">
        <v>0.123303</v>
      </c>
      <c r="B8" s="31">
        <v>58.23199045215387</v>
      </c>
      <c r="C8" s="31">
        <v>59.96169352659321</v>
      </c>
      <c r="D8" s="31">
        <v>61.85872696008893</v>
      </c>
      <c r="E8" s="31">
        <v>63.949991874639764</v>
      </c>
      <c r="F8" s="31">
        <v>66.26848230460268</v>
      </c>
    </row>
    <row r="9" spans="1:6" x14ac:dyDescent="0.25">
      <c r="A9" s="30">
        <v>0.133303</v>
      </c>
      <c r="B9" s="31">
        <v>52.240171484441035</v>
      </c>
      <c r="C9" s="31">
        <v>53.58378479753555</v>
      </c>
      <c r="D9" s="31">
        <v>55.04393534644935</v>
      </c>
      <c r="E9" s="31">
        <v>56.637544794031434</v>
      </c>
      <c r="F9" s="31">
        <v>58.384977559272315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3" width="17" customWidth="1"/>
    <col min="4" max="4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4" x14ac:dyDescent="0.25">
      <c r="A4" s="16" t="s">
        <v>78</v>
      </c>
      <c r="B4" s="17" t="s">
        <v>79</v>
      </c>
      <c r="C4" s="17" t="s">
        <v>80</v>
      </c>
      <c r="D4" s="33" t="s">
        <v>81</v>
      </c>
    </row>
    <row r="5" spans="1:4" x14ac:dyDescent="0.25">
      <c r="A5" t="s">
        <v>43</v>
      </c>
      <c r="B5" s="18">
        <v>2259372000</v>
      </c>
      <c r="C5" s="18">
        <v>957367000</v>
      </c>
      <c r="D5" s="8" t="s">
        <v>82</v>
      </c>
    </row>
    <row r="6" spans="1:4" x14ac:dyDescent="0.25">
      <c r="A6" t="s">
        <v>44</v>
      </c>
      <c r="B6" s="18">
        <v>1186411000</v>
      </c>
      <c r="C6" s="18">
        <v>447410000</v>
      </c>
      <c r="D6" s="8" t="s">
        <v>83</v>
      </c>
    </row>
    <row r="7" spans="1:4" x14ac:dyDescent="0.25">
      <c r="A7" t="s">
        <v>84</v>
      </c>
      <c r="B7" s="18">
        <v>144274000</v>
      </c>
      <c r="C7" s="18">
        <v>40807000</v>
      </c>
      <c r="D7" s="8" t="s">
        <v>85</v>
      </c>
    </row>
    <row r="8" spans="1:4" x14ac:dyDescent="0.25">
      <c r="A8" t="s">
        <v>86</v>
      </c>
      <c r="B8" s="18">
        <v>454875000</v>
      </c>
      <c r="C8" s="18">
        <v>181812000</v>
      </c>
      <c r="D8" s="8" t="s">
        <v>87</v>
      </c>
    </row>
    <row r="9" spans="1:4" x14ac:dyDescent="0.25">
      <c r="A9" t="s">
        <v>88</v>
      </c>
      <c r="B9" s="18">
        <v>126084000</v>
      </c>
      <c r="C9" s="18">
        <v>-166048000</v>
      </c>
      <c r="D9" s="8" t="s">
        <v>89</v>
      </c>
    </row>
    <row r="10" spans="1:4" x14ac:dyDescent="0.25">
      <c r="A10" t="s">
        <v>90</v>
      </c>
      <c r="B10" s="18">
        <v>22184000</v>
      </c>
      <c r="C10" s="18">
        <v>31569000</v>
      </c>
      <c r="D10" s="8" t="s">
        <v>91</v>
      </c>
    </row>
    <row r="11" spans="1:4" x14ac:dyDescent="0.25">
      <c r="A11" t="s">
        <v>92</v>
      </c>
      <c r="B11" s="18">
        <v>1288938000</v>
      </c>
      <c r="C11" s="18">
        <v>574663000</v>
      </c>
      <c r="D11" s="8" t="s">
        <v>93</v>
      </c>
    </row>
    <row r="12" spans="1:4" x14ac:dyDescent="0.25">
      <c r="A12" t="s">
        <v>32</v>
      </c>
      <c r="B12" s="34">
        <v>686432893</v>
      </c>
      <c r="C12" s="34">
        <v>0</v>
      </c>
      <c r="D12" s="8" t="s">
        <v>94</v>
      </c>
    </row>
    <row r="15" spans="1:1" x14ac:dyDescent="0.25">
      <c r="A15" s="19" t="s">
        <v>95</v>
      </c>
    </row>
    <row r="16" ht="38" customHeight="1" spans="1:4" x14ac:dyDescent="0.25">
      <c r="A16" s="35" t="s">
        <v>96</v>
      </c>
      <c r="B16" s="35"/>
      <c r="C16" s="35"/>
      <c r="D16" s="35"/>
    </row>
    <row r="17" ht="22" customHeight="1" spans="1:4" x14ac:dyDescent="0.25">
      <c r="A17" s="35" t="s">
        <v>97</v>
      </c>
      <c r="B17" s="35"/>
      <c r="C17" s="35"/>
      <c r="D17" s="35"/>
    </row>
    <row r="18" ht="54" customHeight="1" spans="1:4" x14ac:dyDescent="0.25">
      <c r="A18" s="35" t="s">
        <v>98</v>
      </c>
      <c r="B18" s="35"/>
      <c r="C18" s="35"/>
      <c r="D18" s="35"/>
    </row>
    <row r="20" spans="1:1" x14ac:dyDescent="0.25">
      <c r="A20" s="36" t="s">
        <v>99</v>
      </c>
    </row>
  </sheetData>
  <mergeCells count="3">
    <mergeCell ref="A16:D16"/>
    <mergeCell ref="A17:D17"/>
    <mergeCell ref="A18:D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2026-09-19T01:03:28Z</dcterms:modified>
</cp:coreProperties>
</file>