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<sst xmlns="http://schemas.openxmlformats.org/spreadsheetml/2006/main" count="119" uniqueCount="106">
  <si>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Gilead Sciences, Inc. (GILD)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</si>
  <si>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</si>
  <si>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</si>
  <si>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</si>
  <si>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</si>
  <si>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</si>
  <si>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</si>
  <si>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</si>
  <si>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</si>
  <si>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</si>
  <si>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</si>
  <si>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</si>
  <si>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</si>
  <si>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</si>
  <si>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</si>
  <si>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</si>
  <si>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</si>
  <si>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</si>
  <si>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</si>
  <si>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</si>
  <si>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</si>
  <si>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</si>
  <si>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</si>
  <si>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</si>
  <si>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11.4x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</si>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</sst>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0.058544803342164276</v>
      </c>
    </row>
    <row r="7" spans="1:2" x14ac:dyDescent="0.25">
      <c r="A7" t="s">
        <v>4</v>
      </c>
      <c r="B7" s="5">
        <v>0.3735304270749859</v>
      </c>
    </row>
    <row r="8" spans="1:2" x14ac:dyDescent="0.25">
      <c r="A8" t="s">
        <v>5</v>
      </c>
      <c r="B8" s="5">
        <v>0.19822960529889166</v>
      </c>
    </row>
    <row r="9" spans="1:2" x14ac:dyDescent="0.25">
      <c r="A9" t="s">
        <v>6</v>
      </c>
      <c r="B9" s="5">
        <v>0.09159359911339385</v>
      </c>
    </row>
    <row r="10" spans="1:3" x14ac:dyDescent="0.25">
      <c r="A10" t="s">
        <v>7</v>
      </c>
      <c r="B10" s="5">
        <v>0.021392583310451883</v>
      </c>
      <c r="C10" s="6" t="s">
        <v>8</v>
      </c>
    </row>
    <row r="11" spans="1:2" x14ac:dyDescent="0.25">
      <c r="A11" t="s">
        <v>9</v>
      </c>
      <c r="B11" s="5">
        <v>0.20000483636101657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15.706857017357029</v>
      </c>
    </row>
    <row r="14" spans="1:3" x14ac:dyDescent="0.25">
      <c r="A14" t="s">
        <v>12</v>
      </c>
      <c r="B14" s="5">
        <v>0.1869307852505902</v>
      </c>
      <c r="C14" s="6" t="s">
        <v>13</v>
      </c>
    </row>
    <row r="15" spans="1:3" x14ac:dyDescent="0.25">
      <c r="A15" t="s">
        <v>14</v>
      </c>
      <c r="B15" s="5">
        <v>0.01267804405979458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0.55244</v>
      </c>
      <c r="C19" s="6" t="s">
        <v>21</v>
      </c>
    </row>
    <row r="20" spans="1:2" x14ac:dyDescent="0.25">
      <c r="A20" t="s">
        <v>22</v>
      </c>
      <c r="B20" s="9">
        <f>B17+B19*B18</f>
        <v>0.07230821200000001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211813859328</v>
      </c>
    </row>
    <row r="23" spans="1:2" x14ac:dyDescent="0.25">
      <c r="A23" t="s">
        <v>26</v>
      </c>
      <c r="B23" s="10">
        <v>24936000000</v>
      </c>
    </row>
    <row r="24" spans="1:2" x14ac:dyDescent="0.25">
      <c r="A24" t="s">
        <v>27</v>
      </c>
      <c r="B24" s="9">
        <f>B22/(B22+B23)</f>
        <v>0.8946736438586308</v>
      </c>
    </row>
    <row r="25" spans="1:2" x14ac:dyDescent="0.25">
      <c r="A25" t="s">
        <v>28</v>
      </c>
      <c r="B25" s="9">
        <f>1-B24</f>
        <v>0.1053263561413692</v>
      </c>
    </row>
    <row r="26" spans="1:2" x14ac:dyDescent="0.25">
      <c r="A26" t="s">
        <v>29</v>
      </c>
      <c r="B26" s="11">
        <f>B24*B20+B25*B21*(1-B8)</f>
        <v>0.06916290502689666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29442000000</v>
      </c>
      <c r="C29" s="6" t="s">
        <v>32</v>
      </c>
    </row>
    <row r="30" spans="1:2" x14ac:dyDescent="0.25">
      <c r="A30" t="s">
        <v>33</v>
      </c>
      <c r="B30" s="10">
        <v>15323000000</v>
      </c>
    </row>
    <row r="31" spans="1:2" x14ac:dyDescent="0.25">
      <c r="A31" t="s">
        <v>34</v>
      </c>
      <c r="B31" s="12">
        <v>1255000000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0.058544803342164276</v>
      </c>
      <c r="C5" s="5">
        <v>0.07197026182916666</v>
      </c>
      <c r="D5" s="5">
        <v>0.06609897910052083</v>
      </c>
      <c r="E5" s="5">
        <v>0.06022769637187499</v>
      </c>
      <c r="F5" s="5">
        <v>0.054356413643229164</v>
      </c>
      <c r="G5" s="5">
        <v>0.04848513091458333</v>
      </c>
      <c r="H5" s="5">
        <v>0.0426138481859375</v>
      </c>
      <c r="I5" s="5">
        <v>0.03674256545729167</v>
      </c>
      <c r="J5" s="5">
        <v>0.03087128272864583</v>
      </c>
      <c r="K5" s="5">
        <v>0.025</v>
      </c>
    </row>
    <row r="6" spans="1:11" x14ac:dyDescent="0.25">
      <c r="A6" t="s">
        <v>50</v>
      </c>
      <c r="B6" s="18">
        <f>Assumptions!B29*(1+B5)</f>
        <v>31165676100</v>
      </c>
      <c r="C6" s="18">
        <f>B6*(1+C5)</f>
        <v>33408677969</v>
      </c>
      <c r="D6" s="18">
        <f>C6*(1+D5)</f>
        <v>35616957475.84896</v>
      </c>
      <c r="E6" s="18">
        <f>D6*(1+E5)</f>
        <v>37762084776.39438</v>
      </c>
      <c r="F6" s="18">
        <f>E6*(1+F5)</f>
        <v>39814696276.530754</v>
      </c>
      <c r="G6" s="18">
        <f>F6*(1+G5)</f>
        <v>41745117037.822716</v>
      </c>
      <c r="H6" s="18">
        <f>G6*(1+H5)</f>
        <v>43524037117.77669</v>
      </c>
      <c r="I6" s="18">
        <f>H6*(1+I5)</f>
        <v>45123221900.54219</v>
      </c>
      <c r="J6" s="18">
        <f>I6*(1+J5)</f>
        <v>46516233641.46126</v>
      </c>
      <c r="K6" s="18">
        <f>J6*(1+K5)</f>
        <v>47679139482.49779</v>
      </c>
    </row>
    <row r="7" spans="1:11" x14ac:dyDescent="0.25">
      <c r="A7" t="s">
        <v>4</v>
      </c>
      <c r="B7" s="9">
        <f>Assumptions!B7</f>
        <v>0.3735304270749859</v>
      </c>
      <c r="C7" s="9">
        <f>Assumptions!B7</f>
        <v>0.3735304270749859</v>
      </c>
      <c r="D7" s="9">
        <f>Assumptions!B7</f>
        <v>0.3735304270749859</v>
      </c>
      <c r="E7" s="9">
        <f>Assumptions!B7</f>
        <v>0.3735304270749859</v>
      </c>
      <c r="F7" s="9">
        <f>Assumptions!B7</f>
        <v>0.3735304270749859</v>
      </c>
      <c r="G7" s="9">
        <f>Assumptions!B7</f>
        <v>0.3735304270749859</v>
      </c>
      <c r="H7" s="9">
        <f>Assumptions!B7</f>
        <v>0.3735304270749859</v>
      </c>
      <c r="I7" s="9">
        <f>Assumptions!B7</f>
        <v>0.3735304270749859</v>
      </c>
      <c r="J7" s="9">
        <f>Assumptions!B7</f>
        <v>0.3735304270749859</v>
      </c>
      <c r="K7" s="9">
        <f>Assumptions!B7</f>
        <v>0.3735304270749859</v>
      </c>
    </row>
    <row r="8" spans="1:11" x14ac:dyDescent="0.25">
      <c r="A8" t="s">
        <v>51</v>
      </c>
      <c r="B8" s="18">
        <f>B6*B7</f>
        <v>11641328303.71368</v>
      </c>
      <c r="C8" s="18">
        <f>C6*C7</f>
        <v>12479157749.771242</v>
      </c>
      <c r="D8" s="18">
        <f>D6*D7</f>
        <v>13304017337.065474</v>
      </c>
      <c r="E8" s="18">
        <f>E6*E7</f>
        <v>14105287653.768415</v>
      </c>
      <c r="F8" s="18">
        <f>F6*F7</f>
        <v>14872000504.033384</v>
      </c>
      <c r="G8" s="18">
        <f>G6*G7</f>
        <v>15593071395.43319</v>
      </c>
      <c r="H8" s="18">
        <f>H6*H7</f>
        <v>16257552172.630665</v>
      </c>
      <c r="I8" s="18">
        <f>I6*I7</f>
        <v>16854896347.508883</v>
      </c>
      <c r="J8" s="18">
        <f>J6*J7</f>
        <v>17375228618.01485</v>
      </c>
      <c r="K8" s="18">
        <f>K6*K7</f>
        <v>17809609333.46522</v>
      </c>
    </row>
    <row r="9" spans="1:11" x14ac:dyDescent="0.25">
      <c r="A9" t="s">
        <v>52</v>
      </c>
      <c r="B9" s="18">
        <f>B8*(1-Assumptions!B8)</f>
        <v>9333672388.913702</v>
      </c>
      <c r="C9" s="18">
        <f>C8*(1-Assumptions!B8)</f>
        <v>10005419234.571484</v>
      </c>
      <c r="D9" s="18">
        <f>D8*(1-Assumptions!B8)</f>
        <v>10666767231.449373</v>
      </c>
      <c r="E9" s="18">
        <f>E8*(1-Assumptions!B8)</f>
        <v>11309202049.534573</v>
      </c>
      <c r="F9" s="18">
        <f>F8*(1-Assumptions!B8)</f>
        <v>11923929714.113928</v>
      </c>
      <c r="G9" s="18">
        <f>G8*(1-Assumptions!B8)</f>
        <v>12502063007.31903</v>
      </c>
      <c r="H9" s="18">
        <f>H8*(1-Assumptions!B8)</f>
        <v>13034824022.32395</v>
      </c>
      <c r="I9" s="18">
        <f>I8*(1-Assumptions!B8)</f>
        <v>13513756897.188465</v>
      </c>
      <c r="J9" s="18">
        <f>J8*(1-Assumptions!B8)</f>
        <v>13930943907.087759</v>
      </c>
      <c r="K9" s="18">
        <f>K8*(1-Assumptions!B8)</f>
        <v>14279217504.764954</v>
      </c>
    </row>
    <row r="10" spans="1:11" x14ac:dyDescent="0.25">
      <c r="A10" t="s">
        <v>53</v>
      </c>
      <c r="B10" s="18">
        <f>B6*Assumptions!B9</f>
        <v>2854576442.80128</v>
      </c>
      <c r="C10" s="18">
        <f>C6*Assumptions!B9</f>
        <v>3060021056.801059</v>
      </c>
      <c r="D10" s="18">
        <f>D6*Assumptions!B9</f>
        <v>3262285324.681706</v>
      </c>
      <c r="E10" s="18">
        <f>E6*Assumptions!B9</f>
        <v>3458765254.6950593</v>
      </c>
      <c r="F10" s="18">
        <f>F6*Assumptions!B9</f>
        <v>3646771329.5740924</v>
      </c>
      <c r="G10" s="18">
        <f>G6*Assumptions!B9</f>
        <v>3823585514.9040413</v>
      </c>
      <c r="H10" s="18">
        <f>H6*Assumptions!B9</f>
        <v>3986523207.562112</v>
      </c>
      <c r="I10" s="18">
        <f>I6*Assumptions!B9</f>
        <v>4132998297.462975</v>
      </c>
      <c r="J10" s="18">
        <f>J6*Assumptions!B9</f>
        <v>4260589256.420967</v>
      </c>
      <c r="K10" s="18">
        <f>K6*Assumptions!B9</f>
        <v>4367103987.8314905</v>
      </c>
    </row>
    <row r="11" spans="1:11" x14ac:dyDescent="0.25">
      <c r="A11" t="s">
        <v>54</v>
      </c>
      <c r="B11" s="18">
        <f>-B6*B19</f>
        <v>-666714322.3958092</v>
      </c>
      <c r="C11" s="18">
        <f>-C6*C19</f>
        <v>-862440191.430185</v>
      </c>
      <c r="D11" s="18">
        <f>-D6*D19</f>
        <v>-1076954485.1710348</v>
      </c>
      <c r="E11" s="18">
        <f>-E6*E19</f>
        <v>-1308811187.0876856</v>
      </c>
      <c r="F11" s="18">
        <f>-F6*F19</f>
        <v>-1556024890.1132052</v>
      </c>
      <c r="G11" s="18">
        <f>-G6*G19</f>
        <v>-1816077227.2618208</v>
      </c>
      <c r="H11" s="18">
        <f>-H6*H19</f>
        <v>-2085942401.812106</v>
      </c>
      <c r="I11" s="18">
        <f>-I6*I19</f>
        <v>-2362132442.6020727</v>
      </c>
      <c r="J11" s="18">
        <f>-J6*J19</f>
        <v>-2640761943.5968256</v>
      </c>
      <c r="K11" s="18">
        <f>-K6*K19</f>
        <v>-2917631120.7663407</v>
      </c>
    </row>
    <row r="12" spans="1:11" x14ac:dyDescent="0.25">
      <c r="A12" t="s">
        <v>55</v>
      </c>
      <c r="B12" s="18">
        <f>-(B6-Assumptions!B29)*Assumptions!B11</f>
        <v>-344743556.3198952</v>
      </c>
      <c r="C12" s="18">
        <f>-(C6-B6)*Assumptions!B11</f>
        <v>-448611221.76679933</v>
      </c>
      <c r="D12" s="18">
        <f>-(D6-C6)*Assumptions!B11</f>
        <v>-441666581.4067128</v>
      </c>
      <c r="E12" s="18">
        <f>-(E6-D6)*Assumptions!B11</f>
        <v>-429035834.7191355</v>
      </c>
      <c r="F12" s="18">
        <f>-(F6-E6)*Assumptions!B11</f>
        <v>-410532227.1975165</v>
      </c>
      <c r="G12" s="18">
        <f>-(G6-F6)*Assumptions!B11</f>
        <v>-386093488.4701078</v>
      </c>
      <c r="H12" s="18">
        <f>-(H6-G6)*Assumptions!B11</f>
        <v>-355792619.49052066</v>
      </c>
      <c r="I12" s="18">
        <f>-(I6-H6)*Assumptions!B11</f>
        <v>-319844690.78804225</v>
      </c>
      <c r="J12" s="18">
        <f>-(J6-I6)*Assumptions!B11</f>
        <v>-278609085.2914929</v>
      </c>
      <c r="K12" s="18">
        <f>-(K6-J6)*Assumptions!B11</f>
        <v>-232586792.43978143</v>
      </c>
    </row>
    <row r="13" spans="1:11" x14ac:dyDescent="0.25">
      <c r="A13" s="19" t="s">
        <v>56</v>
      </c>
      <c r="B13" s="20">
        <f>B9+B10+B11+B12</f>
        <v>11176790952.999277</v>
      </c>
      <c r="C13" s="20">
        <f>C9+C10+C11+C12</f>
        <v>11754388878.175558</v>
      </c>
      <c r="D13" s="20">
        <f>D9+D10+D11+D12</f>
        <v>12410431489.553331</v>
      </c>
      <c r="E13" s="20">
        <f>E9+E10+E11+E12</f>
        <v>13030120282.42281</v>
      </c>
      <c r="F13" s="20">
        <f>F9+F10+F11+F12</f>
        <v>13604143926.377298</v>
      </c>
      <c r="G13" s="20">
        <f>G9+G10+G11+G12</f>
        <v>14123477806.491142</v>
      </c>
      <c r="H13" s="20">
        <f>H9+H10+H11+H12</f>
        <v>14579612208.583437</v>
      </c>
      <c r="I13" s="20">
        <f>I9+I10+I11+I12</f>
        <v>14964778061.261324</v>
      </c>
      <c r="J13" s="20">
        <f>J9+J10+J11+J12</f>
        <v>15272162134.62041</v>
      </c>
      <c r="K13" s="20">
        <f>K9+K10+K11+K12</f>
        <v>15496103579.390322</v>
      </c>
    </row>
    <row r="14" spans="1:11" x14ac:dyDescent="0.25">
      <c r="A14" t="s">
        <v>57</v>
      </c>
      <c r="B14" s="21">
        <f>1/(1+Assumptions!$B$26)^(1-0.5*Assumptions!$B$32)</f>
        <v>0.9671148653969227</v>
      </c>
      <c r="C14" s="21">
        <f>1/(1+Assumptions!$B$26)^(2-0.5*Assumptions!$B$32)</f>
        <v>0.9045533293849108</v>
      </c>
      <c r="D14" s="21">
        <f>1/(1+Assumptions!$B$26)^(3-0.5*Assumptions!$B$32)</f>
        <v>0.8460388263864758</v>
      </c>
      <c r="E14" s="21">
        <f>1/(1+Assumptions!$B$26)^(4-0.5*Assumptions!$B$32)</f>
        <v>0.7913095585421496</v>
      </c>
      <c r="F14" s="21">
        <f>1/(1+Assumptions!$B$26)^(5-0.5*Assumptions!$B$32)</f>
        <v>0.7401206633915556</v>
      </c>
      <c r="G14" s="21">
        <f>1/(1+Assumptions!$B$26)^(6-0.5*Assumptions!$B$32)</f>
        <v>0.6922431183421357</v>
      </c>
      <c r="H14" s="21">
        <f>1/(1+Assumptions!$B$26)^(7-0.5*Assumptions!$B$32)</f>
        <v>0.6474627160065202</v>
      </c>
      <c r="I14" s="21">
        <f>1/(1+Assumptions!$B$26)^(8-0.5*Assumptions!$B$32)</f>
        <v>0.6055791058241327</v>
      </c>
      <c r="J14" s="21">
        <f>1/(1+Assumptions!$B$26)^(9-0.5*Assumptions!$B$32)</f>
        <v>0.5664048976791785</v>
      </c>
      <c r="K14" s="21">
        <f>1/(1+Assumptions!$B$26)^(10-0.5*Assumptions!$B$32)</f>
        <v>0.529764823504543</v>
      </c>
    </row>
    <row r="15" spans="1:11" x14ac:dyDescent="0.25">
      <c r="A15" s="19" t="s">
        <v>58</v>
      </c>
      <c r="B15" s="20">
        <f>B13*B14</f>
        <v>10809240678.07944</v>
      </c>
      <c r="C15" s="20">
        <f>C13*C14</f>
        <v>10632471594.638668</v>
      </c>
      <c r="D15" s="20">
        <f>D13*D14</f>
        <v>10499706892.371462</v>
      </c>
      <c r="E15" s="20">
        <f>E13*E14</f>
        <v>10310858728.435102</v>
      </c>
      <c r="F15" s="20">
        <f>F13*F14</f>
        <v>10068708027.664568</v>
      </c>
      <c r="G15" s="20">
        <f>G13*G14</f>
        <v>9776880318.601376</v>
      </c>
      <c r="H15" s="20">
        <f>H13*H14</f>
        <v>9439755318.891253</v>
      </c>
      <c r="I15" s="20">
        <f>I13*I14</f>
        <v>9062356917.19523</v>
      </c>
      <c r="J15" s="20">
        <f>J13*J14</f>
        <v>8650227431.199497</v>
      </c>
      <c r="K15" s="20">
        <f>K13*K14</f>
        <v>8209290577.743831</v>
      </c>
    </row>
    <row r="17" spans="1:2" x14ac:dyDescent="0.25">
      <c r="A17" s="22" t="s">
        <v>59</v>
      </c>
      <c r="B17" s="23">
        <f>SUM(B15:K15)</f>
        <v>97459496484.82043</v>
      </c>
    </row>
    <row r="19" spans="1:11" x14ac:dyDescent="0.25">
      <c r="A19" t="s">
        <v>7</v>
      </c>
      <c r="B19" s="9">
        <f>Assumptions!$B$10+($B$20-Assumptions!$B$10)*0/9</f>
        <v>0.021392583310451883</v>
      </c>
      <c r="C19" s="9">
        <f>Assumptions!$B$10+($B$20-Assumptions!$B$10)*1/9</f>
        <v>0.025814855416620958</v>
      </c>
      <c r="D19" s="9">
        <f>Assumptions!$B$10+($B$20-Assumptions!$B$10)*2/9</f>
        <v>0.030237127522790033</v>
      </c>
      <c r="E19" s="9">
        <f>Assumptions!$B$10+($B$20-Assumptions!$B$10)*3/9</f>
        <v>0.03465939962895911</v>
      </c>
      <c r="F19" s="9">
        <f>Assumptions!$B$10+($B$20-Assumptions!$B$10)*4/9</f>
        <v>0.03908167173512818</v>
      </c>
      <c r="G19" s="9">
        <f>Assumptions!$B$10+($B$20-Assumptions!$B$10)*5/9</f>
        <v>0.04350394384129726</v>
      </c>
      <c r="H19" s="9">
        <f>Assumptions!$B$10+($B$20-Assumptions!$B$10)*6/9</f>
        <v>0.047926215947466336</v>
      </c>
      <c r="I19" s="9">
        <f>Assumptions!$B$10+($B$20-Assumptions!$B$10)*7/9</f>
        <v>0.052348488053635414</v>
      </c>
      <c r="J19" s="9">
        <f>Assumptions!$B$10+($B$20-Assumptions!$B$10)*8/9</f>
        <v>0.05677076015980448</v>
      </c>
      <c r="K19" s="9">
        <f>Assumptions!$B$10+($B$20-Assumptions!$B$10)*9/9</f>
        <v>0.06119303226597356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0.06119303226597356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15496103579.390322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17295979442.85837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0.13373934082867214</v>
      </c>
    </row>
    <row r="7" spans="1:2" x14ac:dyDescent="0.25">
      <c r="A7" t="s">
        <v>66</v>
      </c>
      <c r="B7" s="18">
        <f>-MAX(B5,0)*B6</f>
        <v>-2313152889.674143</v>
      </c>
    </row>
    <row r="8" spans="1:2" x14ac:dyDescent="0.25">
      <c r="A8" t="s">
        <v>67</v>
      </c>
      <c r="B8" s="18">
        <f>IF(OR(Assumptions!$B$33=0,Assumptions!B12&lt;=0),B5,MAX(B5+B7,0))</f>
        <v>14982826553.184229</v>
      </c>
    </row>
    <row r="9" spans="1:2" x14ac:dyDescent="0.25">
      <c r="A9" t="s">
        <v>68</v>
      </c>
      <c r="B9" s="18">
        <f>B8*(1+Assumptions!B12)/(Assumptions!B26-Assumptions!B12)</f>
        <v>347744271072.31</v>
      </c>
    </row>
    <row r="10" spans="1:2" x14ac:dyDescent="0.25">
      <c r="A10" t="s">
        <v>69</v>
      </c>
      <c r="B10" s="18">
        <f>B9/(1+Assumptions!B26)^(10-0.5*Assumptions!B32)</f>
        <v>184222682389.33826</v>
      </c>
    </row>
    <row r="11" spans="1:2" x14ac:dyDescent="0.25">
      <c r="A11" t="s">
        <v>70</v>
      </c>
      <c r="B11" s="18">
        <f>Forecast!B17+B10</f>
        <v>281682178874.1587</v>
      </c>
    </row>
    <row r="12" spans="1:2" x14ac:dyDescent="0.25">
      <c r="A12" t="s">
        <v>71</v>
      </c>
      <c r="B12" s="18">
        <f>-Assumptions!B30</f>
        <v>-15323000000</v>
      </c>
    </row>
    <row r="13" spans="1:2" x14ac:dyDescent="0.25">
      <c r="A13" t="s">
        <v>72</v>
      </c>
      <c r="B13" s="18">
        <f>B11+B12</f>
        <v>266359178874.1587</v>
      </c>
    </row>
    <row r="14" spans="1:2" x14ac:dyDescent="0.25">
      <c r="A14" s="19" t="s">
        <v>73</v>
      </c>
      <c r="B14" s="24">
        <f>B13/Assumptions!B31</f>
        <v>212.2383895411623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22176713321.29671</v>
      </c>
    </row>
    <row r="18" spans="1:2" x14ac:dyDescent="0.25">
      <c r="A18" t="s">
        <v>68</v>
      </c>
      <c r="B18" s="18">
        <f>B17*Assumptions!B13</f>
        <v>348326465252.52435</v>
      </c>
    </row>
    <row r="19" spans="1:2" x14ac:dyDescent="0.25">
      <c r="A19" t="s">
        <v>69</v>
      </c>
      <c r="B19" s="18">
        <f>B18/(1+Assumptions!B26)^(10-0.5*Assumptions!B32)</f>
        <v>184531108386.4649</v>
      </c>
    </row>
    <row r="20" spans="1:2" x14ac:dyDescent="0.25">
      <c r="A20" t="s">
        <v>70</v>
      </c>
      <c r="B20" s="18">
        <f>Forecast!B17+B19</f>
        <v>281990604871.28534</v>
      </c>
    </row>
    <row r="21" spans="1:2" x14ac:dyDescent="0.25">
      <c r="A21" t="s">
        <v>71</v>
      </c>
      <c r="B21" s="18">
        <f>-Assumptions!B30</f>
        <v>-15323000000</v>
      </c>
    </row>
    <row r="22" spans="1:2" x14ac:dyDescent="0.25">
      <c r="A22" t="s">
        <v>72</v>
      </c>
      <c r="B22" s="18">
        <f>B20+B21</f>
        <v>266667604871.28534</v>
      </c>
    </row>
    <row r="23" spans="1:2" x14ac:dyDescent="0.25">
      <c r="A23" s="19" t="s">
        <v>73</v>
      </c>
      <c r="B23" s="25">
        <f>B22/Assumptions!B31</f>
        <v>212.4841473077971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170.68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212.2383895411623</v>
      </c>
    </row>
    <row r="29" spans="1:2" x14ac:dyDescent="0.25">
      <c r="A29" s="19" t="s">
        <v>81</v>
      </c>
      <c r="B29" s="11">
        <f>B28/B26-1</f>
        <v>0.24348716628288192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0.049163</v>
      </c>
      <c r="B5" s="31">
        <v>314.00368341390777</v>
      </c>
      <c r="C5" s="31">
        <v>346.9251978075623</v>
      </c>
      <c r="D5" s="31">
        <v>393.8759481489973</v>
      </c>
      <c r="E5" s="31">
        <v>465.8374372935435</v>
      </c>
      <c r="F5" s="31">
        <v>589.2984799024077</v>
      </c>
    </row>
    <row r="6" spans="1:6" x14ac:dyDescent="0.25">
      <c r="A6" s="30">
        <v>0.059163</v>
      </c>
      <c r="B6" s="31">
        <v>240.0444156412943</v>
      </c>
      <c r="C6" s="31">
        <v>255.82913570308628</v>
      </c>
      <c r="D6" s="31">
        <v>276.50417989912955</v>
      </c>
      <c r="E6" s="31">
        <v>304.58488828407457</v>
      </c>
      <c r="F6" s="31">
        <v>344.6685775335628</v>
      </c>
    </row>
    <row r="7" spans="1:6" x14ac:dyDescent="0.25">
      <c r="A7" s="30">
        <v>0.069163</v>
      </c>
      <c r="B7" s="31">
        <v>193.4199371058748</v>
      </c>
      <c r="C7" s="31">
        <v>201.78345097222564</v>
      </c>
      <c r="D7" s="32">
        <v>212.23791717693499</v>
      </c>
      <c r="E7" s="31">
        <v>225.58420095186403</v>
      </c>
      <c r="F7" s="31">
        <v>243.09201700454122</v>
      </c>
    </row>
    <row r="8" spans="1:6" x14ac:dyDescent="0.25">
      <c r="A8" s="30">
        <v>0.079163</v>
      </c>
      <c r="B8" s="31">
        <v>161.34917353044335</v>
      </c>
      <c r="C8" s="31">
        <v>166.00269266444053</v>
      </c>
      <c r="D8" s="31">
        <v>171.6673304185343</v>
      </c>
      <c r="E8" s="31">
        <v>178.65158666664308</v>
      </c>
      <c r="F8" s="31">
        <v>187.40367093733659</v>
      </c>
    </row>
    <row r="9" spans="1:6" x14ac:dyDescent="0.25">
      <c r="A9" s="30">
        <v>0.089163</v>
      </c>
      <c r="B9" s="31">
        <v>137.9444996385986</v>
      </c>
      <c r="C9" s="31">
        <v>140.5656270056355</v>
      </c>
      <c r="D9" s="31">
        <v>143.71660217380702</v>
      </c>
      <c r="E9" s="31">
        <v>147.53176107971245</v>
      </c>
      <c r="F9" s="31">
        <v>152.1950439789876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29442000000</v>
      </c>
      <c r="C5" s="18">
        <v>28754000000</v>
      </c>
      <c r="D5" s="18">
        <v>27116000000</v>
      </c>
      <c r="E5" s="18">
        <v>27281000000</v>
      </c>
      <c r="F5" s="6" t="s">
        <v>91</v>
      </c>
    </row>
    <row r="6" spans="1:6" x14ac:dyDescent="0.25">
      <c r="A6" t="s">
        <v>51</v>
      </c>
      <c r="B6" s="18">
        <v>11701000000</v>
      </c>
      <c r="C6" s="18">
        <v>10596000000</v>
      </c>
      <c r="D6" s="18">
        <v>8838000000</v>
      </c>
      <c r="E6" s="18">
        <v>10974000000</v>
      </c>
      <c r="F6" s="6" t="s">
        <v>92</v>
      </c>
    </row>
    <row r="7" spans="1:6" x14ac:dyDescent="0.25">
      <c r="A7" t="s">
        <v>93</v>
      </c>
      <c r="B7" s="18">
        <v>2760000000</v>
      </c>
      <c r="C7" s="18">
        <v>2767000000</v>
      </c>
      <c r="D7" s="18">
        <v>2693000000</v>
      </c>
      <c r="E7" s="18">
        <v>2103000000</v>
      </c>
      <c r="F7" s="6" t="s">
        <v>94</v>
      </c>
    </row>
    <row r="8" spans="1:6" x14ac:dyDescent="0.25">
      <c r="A8" t="s">
        <v>95</v>
      </c>
      <c r="B8" s="18">
        <v>563000000</v>
      </c>
      <c r="C8" s="18">
        <v>523000000</v>
      </c>
      <c r="D8" s="18">
        <v>585000000</v>
      </c>
      <c r="E8" s="18">
        <v>728000000</v>
      </c>
      <c r="F8" s="6" t="s">
        <v>96</v>
      </c>
    </row>
    <row r="9" spans="1:6" x14ac:dyDescent="0.25">
      <c r="A9" t="s">
        <v>97</v>
      </c>
      <c r="B9" s="18">
        <v>3948000000</v>
      </c>
      <c r="C9" s="18">
        <v>880000000</v>
      </c>
      <c r="D9" s="18">
        <v>2303000000</v>
      </c>
      <c r="E9" s="18">
        <v>1763000000</v>
      </c>
      <c r="F9" s="6" t="s">
        <v>98</v>
      </c>
    </row>
    <row r="10" spans="1:6" x14ac:dyDescent="0.25">
      <c r="A10" t="s">
        <v>99</v>
      </c>
      <c r="B10" s="18">
        <v>24936000000</v>
      </c>
      <c r="C10" s="18">
        <v>26711000000</v>
      </c>
      <c r="D10" s="18">
        <v>24987000000</v>
      </c>
      <c r="E10" s="18">
        <v>25230000000</v>
      </c>
      <c r="F10" s="6" t="s">
        <v>100</v>
      </c>
    </row>
    <row r="11" spans="1:6" x14ac:dyDescent="0.25">
      <c r="A11" t="s">
        <v>101</v>
      </c>
      <c r="B11" s="18">
        <v>9613000000</v>
      </c>
      <c r="C11" s="18">
        <v>11568000000</v>
      </c>
      <c r="D11" s="18">
        <v>7264000000</v>
      </c>
      <c r="E11" s="18">
        <v>6385000000</v>
      </c>
      <c r="F11" s="6" t="s">
        <v>102</v>
      </c>
    </row>
    <row r="12" spans="1:6" x14ac:dyDescent="0.25">
      <c r="A12" t="s">
        <v>34</v>
      </c>
      <c r="B12" s="34">
        <v>1255000000</v>
      </c>
      <c r="C12" s="34">
        <v>1255000000</v>
      </c>
      <c r="D12" s="34">
        <v>1258000000</v>
      </c>
      <c r="E12" s="34">
        <v>1262000000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