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<sst xmlns="http://schemas.openxmlformats.org/spreadsheetml/2006/main" count="119" uniqueCount="106">
  <si>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General Mills, Inc. (GIS)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</si>
  <si>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</si>
  <si>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</si>
  <si>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</si>
  <si>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</si>
  <si>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</si>
  <si>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</si>
  <si>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</si>
  <si>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</si>
  <si>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</si>
  <si>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</si>
  <si>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</si>
  <si>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</si>
  <si>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</si>
  <si>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</si>
  <si>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</si>
  <si>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</si>
  <si>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</si>
  <si>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</si>
  <si>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</si>
  <si>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</si>
  <si>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</si>
  <si>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</si>
  <si>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</si>
  <si>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4.9x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</si>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</sst>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-0.04023083540483918</v>
      </c>
    </row>
    <row r="7" spans="1:2" x14ac:dyDescent="0.25">
      <c r="A7" t="s">
        <v>4</v>
      </c>
      <c r="B7" s="5">
        <v>0.16439592331695754</v>
      </c>
    </row>
    <row r="8" spans="1:2" x14ac:dyDescent="0.25">
      <c r="A8" t="s">
        <v>5</v>
      </c>
      <c r="B8" s="5">
        <v>0.199339039877846</v>
      </c>
    </row>
    <row r="9" spans="1:2" x14ac:dyDescent="0.25">
      <c r="A9" t="s">
        <v>6</v>
      </c>
      <c r="B9" s="5">
        <v>0.0282073176865515</v>
      </c>
    </row>
    <row r="10" spans="1:3" x14ac:dyDescent="0.25">
      <c r="A10" t="s">
        <v>7</v>
      </c>
      <c r="B10" s="5">
        <v>0.03367216414318301</v>
      </c>
      <c r="C10" s="6" t="s">
        <v>8</v>
      </c>
    </row>
    <row r="11" spans="1:2" x14ac:dyDescent="0.25">
      <c r="A11" t="s">
        <v>9</v>
      </c>
      <c r="B11" s="5">
        <v>-0.016204711443843375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9.46378272662384</v>
      </c>
    </row>
    <row r="14" spans="1:3" x14ac:dyDescent="0.25">
      <c r="A14" t="s">
        <v>12</v>
      </c>
      <c r="B14" s="5">
        <v>0.10968246958923034</v>
      </c>
      <c r="C14" s="6" t="s">
        <v>13</v>
      </c>
    </row>
    <row r="15" spans="1:3" x14ac:dyDescent="0.25">
      <c r="A15" t="s">
        <v>14</v>
      </c>
      <c r="B15" s="5">
        <v>0.0282073176865515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0.3434</v>
      </c>
      <c r="C19" s="6" t="s">
        <v>21</v>
      </c>
    </row>
    <row r="20" spans="1:2" x14ac:dyDescent="0.25">
      <c r="A20" t="s">
        <v>22</v>
      </c>
      <c r="B20" s="9">
        <f>B17+B19*B18</f>
        <v>0.06346582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18334423040</v>
      </c>
    </row>
    <row r="23" spans="1:2" x14ac:dyDescent="0.25">
      <c r="A23" t="s">
        <v>26</v>
      </c>
      <c r="B23" s="10">
        <v>13940400000</v>
      </c>
    </row>
    <row r="24" spans="1:2" x14ac:dyDescent="0.25">
      <c r="A24" t="s">
        <v>27</v>
      </c>
      <c r="B24" s="9">
        <f>B22/(B22+B23)</f>
        <v>0.568071992750421</v>
      </c>
    </row>
    <row r="25" spans="1:2" x14ac:dyDescent="0.25">
      <c r="A25" t="s">
        <v>28</v>
      </c>
      <c r="B25" s="9">
        <f>1-B24</f>
        <v>0.431928007249579</v>
      </c>
    </row>
    <row r="26" spans="1:2" x14ac:dyDescent="0.25">
      <c r="A26" t="s">
        <v>29</v>
      </c>
      <c r="B26" s="11">
        <f>B24*B20+B25*B21*(1-B8)</f>
        <v>0.05567542948708413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18424600000</v>
      </c>
      <c r="C29" s="6" t="s">
        <v>32</v>
      </c>
    </row>
    <row r="30" spans="1:2" x14ac:dyDescent="0.25">
      <c r="A30" t="s">
        <v>33</v>
      </c>
      <c r="B30" s="10">
        <v>13486600000</v>
      </c>
    </row>
    <row r="31" spans="1:2" x14ac:dyDescent="0.25">
      <c r="A31" t="s">
        <v>34</v>
      </c>
      <c r="B31" s="12">
        <v>537700000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-0.04023083540483918</v>
      </c>
      <c r="C5" s="5">
        <v>0.002705105931222196</v>
      </c>
      <c r="D5" s="5">
        <v>0.005491967689819422</v>
      </c>
      <c r="E5" s="5">
        <v>0.008278829448416647</v>
      </c>
      <c r="F5" s="5">
        <v>0.011065691207013874</v>
      </c>
      <c r="G5" s="5">
        <v>0.013852552965611099</v>
      </c>
      <c r="H5" s="5">
        <v>0.016639414724208323</v>
      </c>
      <c r="I5" s="5">
        <v>0.019426276482805552</v>
      </c>
      <c r="J5" s="5">
        <v>0.022213138241402777</v>
      </c>
      <c r="K5" s="5">
        <v>0.025</v>
      </c>
    </row>
    <row r="6" spans="1:11" x14ac:dyDescent="0.25">
      <c r="A6" t="s">
        <v>50</v>
      </c>
      <c r="B6" s="18">
        <f>Assumptions!B29*(1+B5)</f>
        <v>17683362950</v>
      </c>
      <c r="C6" s="18">
        <f>B6*(1+C5)</f>
        <v>17731198320</v>
      </c>
      <c r="D6" s="18">
        <f>C6*(1+D5)</f>
        <v>17828577488.275223</v>
      </c>
      <c r="E6" s="18">
        <f>D6*(1+E5)</f>
        <v>17976177240.608532</v>
      </c>
      <c r="F6" s="18">
        <f>E6*(1+F5)</f>
        <v>18175096067.03566</v>
      </c>
      <c r="G6" s="18">
        <f>F6*(1+G5)</f>
        <v>18426867547.95934</v>
      </c>
      <c r="H6" s="18">
        <f>G6*(1+H5)</f>
        <v>18733479839.15789</v>
      </c>
      <c r="I6" s="18">
        <f>H6*(1+I5)</f>
        <v>19097401597.998432</v>
      </c>
      <c r="J6" s="18">
        <f>I6*(1+J5)</f>
        <v>19521614819.746357</v>
      </c>
      <c r="K6" s="18">
        <f>J6*(1+K5)</f>
        <v>20009655190.240013</v>
      </c>
    </row>
    <row r="7" spans="1:11" x14ac:dyDescent="0.25">
      <c r="A7" t="s">
        <v>4</v>
      </c>
      <c r="B7" s="9">
        <f>Assumptions!B7</f>
        <v>0.16439592331695754</v>
      </c>
      <c r="C7" s="9">
        <f>Assumptions!B7</f>
        <v>0.16439592331695754</v>
      </c>
      <c r="D7" s="9">
        <f>Assumptions!B7</f>
        <v>0.16439592331695754</v>
      </c>
      <c r="E7" s="9">
        <f>Assumptions!B7</f>
        <v>0.16439592331695754</v>
      </c>
      <c r="F7" s="9">
        <f>Assumptions!B7</f>
        <v>0.16439592331695754</v>
      </c>
      <c r="G7" s="9">
        <f>Assumptions!B7</f>
        <v>0.16439592331695754</v>
      </c>
      <c r="H7" s="9">
        <f>Assumptions!B7</f>
        <v>0.16439592331695754</v>
      </c>
      <c r="I7" s="9">
        <f>Assumptions!B7</f>
        <v>0.16439592331695754</v>
      </c>
      <c r="J7" s="9">
        <f>Assumptions!B7</f>
        <v>0.16439592331695754</v>
      </c>
      <c r="K7" s="9">
        <f>Assumptions!B7</f>
        <v>0.16439592331695754</v>
      </c>
    </row>
    <row r="8" spans="1:11" x14ac:dyDescent="0.25">
      <c r="A8" t="s">
        <v>51</v>
      </c>
      <c r="B8" s="18">
        <f>B6*B7</f>
        <v>2907072779.514128</v>
      </c>
      <c r="C8" s="18">
        <f>C6*C7</f>
        <v>2914936719.3324866</v>
      </c>
      <c r="D8" s="18">
        <f>D6*D7</f>
        <v>2930945457.612929</v>
      </c>
      <c r="E8" s="18">
        <f>E6*E7</f>
        <v>2955210255.1791177</v>
      </c>
      <c r="F8" s="18">
        <f>F6*F7</f>
        <v>2987911699.314731</v>
      </c>
      <c r="G8" s="18">
        <f>G6*G7</f>
        <v>3029301904.386057</v>
      </c>
      <c r="H8" s="18">
        <f>H6*H7</f>
        <v>3079707715.0979705</v>
      </c>
      <c r="I8" s="18">
        <f>I6*I7</f>
        <v>3139534968.657693</v>
      </c>
      <c r="J8" s="18">
        <f>J6*J7</f>
        <v>3209273892.930204</v>
      </c>
      <c r="K8" s="18">
        <f>K6*K7</f>
        <v>3289505740.2534585</v>
      </c>
    </row>
    <row r="9" spans="1:11" x14ac:dyDescent="0.25">
      <c r="A9" t="s">
        <v>52</v>
      </c>
      <c r="B9" s="18">
        <f>B8*(1-Assumptions!B8)</f>
        <v>2327579682.7907605</v>
      </c>
      <c r="C9" s="18">
        <f>C8*(1-Assumptions!B8)</f>
        <v>2333876032.3960705</v>
      </c>
      <c r="D9" s="18">
        <f>D8*(1-Assumptions!B8)</f>
        <v>2346693604.1580334</v>
      </c>
      <c r="E9" s="18">
        <f>E8*(1-Assumptions!B8)</f>
        <v>2366121480.274548</v>
      </c>
      <c r="F9" s="18">
        <f>F8*(1-Assumptions!B8)</f>
        <v>2392304249.933549</v>
      </c>
      <c r="G9" s="18">
        <f>G8*(1-Assumptions!B8)</f>
        <v>2425443771.2656097</v>
      </c>
      <c r="H9" s="18">
        <f>H8*(1-Assumptions!B8)</f>
        <v>2465801736.065946</v>
      </c>
      <c r="I9" s="18">
        <f>I8*(1-Assumptions!B8)</f>
        <v>2513703082.342545</v>
      </c>
      <c r="J9" s="18">
        <f>J8*(1-Assumptions!B8)</f>
        <v>2569540316.4084597</v>
      </c>
      <c r="K9" s="18">
        <f>K8*(1-Assumptions!B8)</f>
        <v>2633778824.3186707</v>
      </c>
    </row>
    <row r="10" spans="1:11" x14ac:dyDescent="0.25">
      <c r="A10" t="s">
        <v>53</v>
      </c>
      <c r="B10" s="18">
        <f>B6*Assumptions!B9</f>
        <v>498800236.4972445</v>
      </c>
      <c r="C10" s="18">
        <f>C6*Assumptions!B9</f>
        <v>500149543.97548825</v>
      </c>
      <c r="D10" s="18">
        <f>D6*Assumptions!B9</f>
        <v>502896349.1110796</v>
      </c>
      <c r="E10" s="18">
        <f>E6*Assumptions!B9</f>
        <v>507059742.21560156</v>
      </c>
      <c r="F10" s="18">
        <f>F6*Assumptions!B9</f>
        <v>512670708.74646753</v>
      </c>
      <c r="G10" s="18">
        <f>G6*Assumptions!B9</f>
        <v>519772506.8932953</v>
      </c>
      <c r="H10" s="18">
        <f>H6*Assumptions!B9</f>
        <v>528421217.1977343</v>
      </c>
      <c r="I10" s="18">
        <f>I6*Assumptions!B9</f>
        <v>538686473.862398</v>
      </c>
      <c r="J10" s="18">
        <f>J6*Assumptions!B9</f>
        <v>550652390.9750773</v>
      </c>
      <c r="K10" s="18">
        <f>K6*Assumptions!B9</f>
        <v>564418700.7494541</v>
      </c>
    </row>
    <row r="11" spans="1:11" x14ac:dyDescent="0.25">
      <c r="A11" t="s">
        <v>54</v>
      </c>
      <c r="B11" s="18">
        <f>-B6*B19</f>
        <v>-595437099.855881</v>
      </c>
      <c r="C11" s="18">
        <f>-C6*C19</f>
        <v>-645388228.885743</v>
      </c>
      <c r="D11" s="18">
        <f>-D6*D19</f>
        <v>-697538572.7476861</v>
      </c>
      <c r="E11" s="18">
        <f>-E6*E19</f>
        <v>-752321668.0813736</v>
      </c>
      <c r="F11" s="18">
        <f>-F6*F19</f>
        <v>-810197230.4358289</v>
      </c>
      <c r="G11" s="18">
        <f>-G6*G19</f>
        <v>-871657535.9238958</v>
      </c>
      <c r="H11" s="18">
        <f>-H6*H19</f>
        <v>-937234326.9705111</v>
      </c>
      <c r="I11" s="18">
        <f>-I6*I19</f>
        <v>-1007506376.6053044</v>
      </c>
      <c r="J11" s="18">
        <f>-J6*J19</f>
        <v>-1083107860.2389956</v>
      </c>
      <c r="K11" s="18">
        <f>-K6*K19</f>
        <v>-1164737702.0863097</v>
      </c>
    </row>
    <row r="12" spans="1:11" x14ac:dyDescent="0.25">
      <c r="A12" t="s">
        <v>55</v>
      </c>
      <c r="B12" s="18">
        <f>-(B6-Assumptions!B29)*Assumptions!B11</f>
        <v>-12011532.506735705</v>
      </c>
      <c r="C12" s="18">
        <f>-(C6-B6)*Assumptions!B11</f>
        <v>775158.367659482</v>
      </c>
      <c r="D12" s="18">
        <f>-(D6-C6)*Assumptions!B11</f>
        <v>1578001.3225414522</v>
      </c>
      <c r="E12" s="18">
        <f>-(E6-D6)*Assumptions!B11</f>
        <v>2391811.395744023</v>
      </c>
      <c r="F12" s="18">
        <f>-(F6-E6)*Assumptions!B11</f>
        <v>3223422.1829995727</v>
      </c>
      <c r="G12" s="18">
        <f>-(G6-F6)*Assumptions!B11</f>
        <v>4079884.1981573408</v>
      </c>
      <c r="H12" s="18">
        <f>-(H6-G6)*Assumptions!B11</f>
        <v>4968563.704008199</v>
      </c>
      <c r="I12" s="18">
        <f>-(I6-H6)*Assumptions!B11</f>
        <v>5897247.090146937</v>
      </c>
      <c r="J12" s="18">
        <f>-(J6-I6)*Assumptions!B11</f>
        <v>6874252.849088265</v>
      </c>
      <c r="K12" s="18">
        <f>-(K6-J6)*Assumptions!B11</f>
        <v>7908553.3767961105</v>
      </c>
    </row>
    <row r="13" spans="1:11" x14ac:dyDescent="0.25">
      <c r="A13" s="19" t="s">
        <v>56</v>
      </c>
      <c r="B13" s="20">
        <f>B9+B10+B11+B12</f>
        <v>2218931286.9253883</v>
      </c>
      <c r="C13" s="20">
        <f>C9+C10+C11+C12</f>
        <v>2189412505.853475</v>
      </c>
      <c r="D13" s="20">
        <f>D9+D10+D11+D12</f>
        <v>2153629381.8439684</v>
      </c>
      <c r="E13" s="20">
        <f>E9+E10+E11+E12</f>
        <v>2123251365.80452</v>
      </c>
      <c r="F13" s="20">
        <f>F9+F10+F11+F12</f>
        <v>2098001150.4271872</v>
      </c>
      <c r="G13" s="20">
        <f>G9+G10+G11+G12</f>
        <v>2077638626.4331665</v>
      </c>
      <c r="H13" s="20">
        <f>H9+H10+H11+H12</f>
        <v>2061957189.9971776</v>
      </c>
      <c r="I13" s="20">
        <f>I9+I10+I11+I12</f>
        <v>2050780426.689786</v>
      </c>
      <c r="J13" s="20">
        <f>J9+J10+J11+J12</f>
        <v>2043959099.9936295</v>
      </c>
      <c r="K13" s="20">
        <f>K9+K10+K11+K12</f>
        <v>2041368376.358611</v>
      </c>
    </row>
    <row r="14" spans="1:11" x14ac:dyDescent="0.25">
      <c r="A14" t="s">
        <v>57</v>
      </c>
      <c r="B14" s="21">
        <f>1/(1+Assumptions!$B$26)^(1-0.5*Assumptions!$B$32)</f>
        <v>0.9732732635728347</v>
      </c>
      <c r="C14" s="21">
        <f>1/(1+Assumptions!$B$26)^(2-0.5*Assumptions!$B$32)</f>
        <v>0.9219436546379738</v>
      </c>
      <c r="D14" s="21">
        <f>1/(1+Assumptions!$B$26)^(3-0.5*Assumptions!$B$32)</f>
        <v>0.8733211258747532</v>
      </c>
      <c r="E14" s="21">
        <f>1/(1+Assumptions!$B$26)^(4-0.5*Assumptions!$B$32)</f>
        <v>0.827262908163989</v>
      </c>
      <c r="F14" s="21">
        <f>1/(1+Assumptions!$B$26)^(5-0.5*Assumptions!$B$32)</f>
        <v>0.7836337619091193</v>
      </c>
      <c r="G14" s="21">
        <f>1/(1+Assumptions!$B$26)^(6-0.5*Assumptions!$B$32)</f>
        <v>0.7423055799355486</v>
      </c>
      <c r="H14" s="21">
        <f>1/(1+Assumptions!$B$26)^(7-0.5*Assumptions!$B$32)</f>
        <v>0.7031570113327437</v>
      </c>
      <c r="I14" s="21">
        <f>1/(1+Assumptions!$B$26)^(8-0.5*Assumptions!$B$32)</f>
        <v>0.6660731051345802</v>
      </c>
      <c r="J14" s="21">
        <f>1/(1+Assumptions!$B$26)^(9-0.5*Assumptions!$B$32)</f>
        <v>0.6309449727916866</v>
      </c>
      <c r="K14" s="21">
        <f>1/(1+Assumptions!$B$26)^(10-0.5*Assumptions!$B$32)</f>
        <v>0.5976694684447101</v>
      </c>
    </row>
    <row r="15" spans="1:11" x14ac:dyDescent="0.25">
      <c r="A15" s="19" t="s">
        <v>58</v>
      </c>
      <c r="B15" s="20">
        <f>B13*B14</f>
        <v>2159626495.269743</v>
      </c>
      <c r="C15" s="20">
        <f>C13*C14</f>
        <v>2018514967.156637</v>
      </c>
      <c r="D15" s="20">
        <f>D13*D14</f>
        <v>1880810036.4689233</v>
      </c>
      <c r="E15" s="20">
        <f>E13*E14</f>
        <v>1756487099.6386087</v>
      </c>
      <c r="F15" s="20">
        <f>F13*F14</f>
        <v>1644064533.9989166</v>
      </c>
      <c r="G15" s="20">
        <f>G13*G14</f>
        <v>1542242745.4909682</v>
      </c>
      <c r="H15" s="20">
        <f>H13*H14</f>
        <v>1449879655.2144778</v>
      </c>
      <c r="I15" s="20">
        <f>I13*I14</f>
        <v>1365969686.754485</v>
      </c>
      <c r="J15" s="20">
        <f>J13*J14</f>
        <v>1289625718.7328007</v>
      </c>
      <c r="K15" s="20">
        <f>K13*K14</f>
        <v>1220063552.398092</v>
      </c>
    </row>
    <row r="17" spans="1:2" x14ac:dyDescent="0.25">
      <c r="A17" s="22" t="s">
        <v>59</v>
      </c>
      <c r="B17" s="23">
        <f>SUM(B15:K15)</f>
        <v>16327284491.123653</v>
      </c>
    </row>
    <row r="19" spans="1:11" x14ac:dyDescent="0.25">
      <c r="A19" t="s">
        <v>7</v>
      </c>
      <c r="B19" s="9">
        <f>Assumptions!$B$10+($B$20-Assumptions!$B$10)*0/9</f>
        <v>0.03367216414318301</v>
      </c>
      <c r="C19" s="9">
        <f>Assumptions!$B$10+($B$20-Assumptions!$B$10)*1/9</f>
        <v>0.036398455267277335</v>
      </c>
      <c r="D19" s="9">
        <f>Assumptions!$B$10+($B$20-Assumptions!$B$10)*2/9</f>
        <v>0.039124746391371666</v>
      </c>
      <c r="E19" s="9">
        <f>Assumptions!$B$10+($B$20-Assumptions!$B$10)*3/9</f>
        <v>0.04185103751546599</v>
      </c>
      <c r="F19" s="9">
        <f>Assumptions!$B$10+($B$20-Assumptions!$B$10)*4/9</f>
        <v>0.04457732863956032</v>
      </c>
      <c r="G19" s="9">
        <f>Assumptions!$B$10+($B$20-Assumptions!$B$10)*5/9</f>
        <v>0.047303619763654645</v>
      </c>
      <c r="H19" s="9">
        <f>Assumptions!$B$10+($B$20-Assumptions!$B$10)*6/9</f>
        <v>0.05002991088774897</v>
      </c>
      <c r="I19" s="9">
        <f>Assumptions!$B$10+($B$20-Assumptions!$B$10)*7/9</f>
        <v>0.0527562020118433</v>
      </c>
      <c r="J19" s="9">
        <f>Assumptions!$B$10+($B$20-Assumptions!$B$10)*8/9</f>
        <v>0.05548249313593763</v>
      </c>
      <c r="K19" s="9">
        <f>Assumptions!$B$10+($B$20-Assumptions!$B$10)*9/9</f>
        <v>0.058208784260031954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0.058208784260031954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2041368376.358611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2633778824.3186707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0.22793068111638087</v>
      </c>
    </row>
    <row r="7" spans="1:2" x14ac:dyDescent="0.25">
      <c r="A7" t="s">
        <v>66</v>
      </c>
      <c r="B7" s="18">
        <f>-MAX(B5,0)*B6</f>
        <v>-600319001.3368554</v>
      </c>
    </row>
    <row r="8" spans="1:2" x14ac:dyDescent="0.25">
      <c r="A8" t="s">
        <v>67</v>
      </c>
      <c r="B8" s="18">
        <f>IF(OR(Assumptions!$B$33=0,Assumptions!B12&lt;=0),B5,MAX(B5+B7,0))</f>
        <v>2033459822.9818153</v>
      </c>
    </row>
    <row r="9" spans="1:2" x14ac:dyDescent="0.25">
      <c r="A9" t="s">
        <v>68</v>
      </c>
      <c r="B9" s="18">
        <f>B8*(1+Assumptions!B12)/(Assumptions!B26-Assumptions!B12)</f>
        <v>67946768909.42806</v>
      </c>
    </row>
    <row r="10" spans="1:2" x14ac:dyDescent="0.25">
      <c r="A10" t="s">
        <v>69</v>
      </c>
      <c r="B10" s="18">
        <f>B9/(1+Assumptions!B26)^(10-0.5*Assumptions!B32)</f>
        <v>40609709256.63343</v>
      </c>
    </row>
    <row r="11" spans="1:2" x14ac:dyDescent="0.25">
      <c r="A11" t="s">
        <v>70</v>
      </c>
      <c r="B11" s="18">
        <f>Forecast!B17+B10</f>
        <v>56936993747.75708</v>
      </c>
    </row>
    <row r="12" spans="1:2" x14ac:dyDescent="0.25">
      <c r="A12" t="s">
        <v>71</v>
      </c>
      <c r="B12" s="18">
        <f>-Assumptions!B30</f>
        <v>-13486600000</v>
      </c>
    </row>
    <row r="13" spans="1:2" x14ac:dyDescent="0.25">
      <c r="A13" t="s">
        <v>72</v>
      </c>
      <c r="B13" s="18">
        <f>B11+B12</f>
        <v>43450393747.75708</v>
      </c>
    </row>
    <row r="14" spans="1:2" x14ac:dyDescent="0.25">
      <c r="A14" s="19" t="s">
        <v>73</v>
      </c>
      <c r="B14" s="24">
        <f>B13/Assumptions!B31</f>
        <v>80.80787381022333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3853924441.0029125</v>
      </c>
    </row>
    <row r="18" spans="1:2" x14ac:dyDescent="0.25">
      <c r="A18" t="s">
        <v>68</v>
      </c>
      <c r="B18" s="18">
        <f>B17*Assumptions!B13</f>
        <v>36472703554.47681</v>
      </c>
    </row>
    <row r="19" spans="1:2" x14ac:dyDescent="0.25">
      <c r="A19" t="s">
        <v>69</v>
      </c>
      <c r="B19" s="18">
        <f>B18/(1+Assumptions!B26)^(10-0.5*Assumptions!B32)</f>
        <v>21798621346.14564</v>
      </c>
    </row>
    <row r="20" spans="1:2" x14ac:dyDescent="0.25">
      <c r="A20" t="s">
        <v>70</v>
      </c>
      <c r="B20" s="18">
        <f>Forecast!B17+B19</f>
        <v>38125905837.269295</v>
      </c>
    </row>
    <row r="21" spans="1:2" x14ac:dyDescent="0.25">
      <c r="A21" t="s">
        <v>71</v>
      </c>
      <c r="B21" s="18">
        <f>-Assumptions!B30</f>
        <v>-13486600000</v>
      </c>
    </row>
    <row r="22" spans="1:2" x14ac:dyDescent="0.25">
      <c r="A22" t="s">
        <v>72</v>
      </c>
      <c r="B22" s="18">
        <f>B20+B21</f>
        <v>24639305837.269295</v>
      </c>
    </row>
    <row r="23" spans="1:2" x14ac:dyDescent="0.25">
      <c r="A23" s="19" t="s">
        <v>73</v>
      </c>
      <c r="B23" s="25">
        <f>B22/Assumptions!B31</f>
        <v>45.823518388077545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34.29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80.80787381022333</v>
      </c>
    </row>
    <row r="29" spans="1:2" x14ac:dyDescent="0.25">
      <c r="A29" s="19" t="s">
        <v>81</v>
      </c>
      <c r="B29" s="11">
        <f>B28/B26-1</f>
        <v>1.3566017442468161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0.035675</v>
      </c>
      <c r="B5" s="31">
        <v>158.50198986349494</v>
      </c>
      <c r="C5" s="31">
        <v>195.68066182015644</v>
      </c>
      <c r="D5" s="31">
        <v>268.3183728727468</v>
      </c>
      <c r="E5" s="31">
        <v>470.13945543341265</v>
      </c>
      <c r="F5" s="31">
        <v>3671.8854985705266</v>
      </c>
    </row>
    <row r="6" spans="1:6" x14ac:dyDescent="0.25">
      <c r="A6" s="30">
        <v>0.045675</v>
      </c>
      <c r="B6" s="31">
        <v>99.71381903431205</v>
      </c>
      <c r="C6" s="31">
        <v>111.49282463871441</v>
      </c>
      <c r="D6" s="31">
        <v>129.27651210890596</v>
      </c>
      <c r="E6" s="31">
        <v>158.81098849348885</v>
      </c>
      <c r="F6" s="31">
        <v>216.6079009789615</v>
      </c>
    </row>
    <row r="7" spans="1:6" x14ac:dyDescent="0.25">
      <c r="A7" s="30">
        <v>0.055675</v>
      </c>
      <c r="B7" s="31">
        <v>69.81316108104312</v>
      </c>
      <c r="C7" s="31">
        <v>74.4565216248734</v>
      </c>
      <c r="D7" s="32">
        <v>80.80927843191608</v>
      </c>
      <c r="E7" s="31">
        <v>89.87010507366831</v>
      </c>
      <c r="F7" s="31">
        <v>103.60374387277295</v>
      </c>
    </row>
    <row r="8" spans="1:6" x14ac:dyDescent="0.25">
      <c r="A8" s="30">
        <v>0.065675</v>
      </c>
      <c r="B8" s="31">
        <v>51.699348088815455</v>
      </c>
      <c r="C8" s="31">
        <v>53.60448753360827</v>
      </c>
      <c r="D8" s="31">
        <v>56.1174651384739</v>
      </c>
      <c r="E8" s="31">
        <v>59.49385406111645</v>
      </c>
      <c r="F8" s="31">
        <v>64.15586032489867</v>
      </c>
    </row>
    <row r="9" spans="1:6" x14ac:dyDescent="0.25">
      <c r="A9" s="30">
        <v>0.075675</v>
      </c>
      <c r="B9" s="31">
        <v>39.54526139295317</v>
      </c>
      <c r="C9" s="31">
        <v>40.217871562001555</v>
      </c>
      <c r="D9" s="31">
        <v>41.12909437891947</v>
      </c>
      <c r="E9" s="31">
        <v>42.3572919612339</v>
      </c>
      <c r="F9" s="31">
        <v>44.019357277130375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18424600000</v>
      </c>
      <c r="C5" s="18">
        <v>19486600000</v>
      </c>
      <c r="D5" s="18">
        <v>19857200000</v>
      </c>
      <c r="E5" s="18">
        <v>20094200000</v>
      </c>
      <c r="F5" s="6" t="s">
        <v>91</v>
      </c>
    </row>
    <row r="6" spans="1:6" x14ac:dyDescent="0.25">
      <c r="A6" t="s">
        <v>51</v>
      </c>
      <c r="B6" s="18">
        <v>2807200000</v>
      </c>
      <c r="C6" s="18">
        <v>3287200000</v>
      </c>
      <c r="D6" s="18">
        <v>3673100000</v>
      </c>
      <c r="E6" s="18">
        <v>3045400000</v>
      </c>
      <c r="F6" s="6" t="s">
        <v>92</v>
      </c>
    </row>
    <row r="7" spans="1:6" x14ac:dyDescent="0.25">
      <c r="A7" t="s">
        <v>93</v>
      </c>
      <c r="B7" s="18">
        <v>555200000</v>
      </c>
      <c r="C7" s="18">
        <v>539000000</v>
      </c>
      <c r="D7" s="18">
        <v>552700000</v>
      </c>
      <c r="E7" s="18">
        <v>546600000</v>
      </c>
      <c r="F7" s="6" t="s">
        <v>94</v>
      </c>
    </row>
    <row r="8" spans="1:6" x14ac:dyDescent="0.25">
      <c r="A8" t="s">
        <v>95</v>
      </c>
      <c r="B8" s="18">
        <v>539900000</v>
      </c>
      <c r="C8" s="18">
        <v>625300000</v>
      </c>
      <c r="D8" s="18">
        <v>774100000</v>
      </c>
      <c r="E8" s="18">
        <v>689500000</v>
      </c>
      <c r="F8" s="6" t="s">
        <v>96</v>
      </c>
    </row>
    <row r="9" spans="1:6" x14ac:dyDescent="0.25">
      <c r="A9" t="s">
        <v>97</v>
      </c>
      <c r="B9" s="18">
        <v>478300000</v>
      </c>
      <c r="C9" s="18">
        <v>-192400000</v>
      </c>
      <c r="D9" s="18">
        <v>-10600000</v>
      </c>
      <c r="E9" s="18">
        <v>48900000</v>
      </c>
      <c r="F9" s="6" t="s">
        <v>98</v>
      </c>
    </row>
    <row r="10" spans="1:6" x14ac:dyDescent="0.25">
      <c r="A10" t="s">
        <v>99</v>
      </c>
      <c r="B10" s="18">
        <v>13940400000</v>
      </c>
      <c r="C10" s="18">
        <v>15296700000</v>
      </c>
      <c r="D10" s="18">
        <v>13315100000</v>
      </c>
      <c r="E10" s="18">
        <v>12064800000</v>
      </c>
      <c r="F10" s="6" t="s">
        <v>100</v>
      </c>
    </row>
    <row r="11" spans="1:6" x14ac:dyDescent="0.25">
      <c r="A11" t="s">
        <v>101</v>
      </c>
      <c r="B11" s="18">
        <v>453800000</v>
      </c>
      <c r="C11" s="18">
        <v>363900000</v>
      </c>
      <c r="D11" s="18">
        <v>418000000</v>
      </c>
      <c r="E11" s="18">
        <v>702700000</v>
      </c>
      <c r="F11" s="6" t="s">
        <v>102</v>
      </c>
    </row>
    <row r="12" spans="1:6" x14ac:dyDescent="0.25">
      <c r="A12" t="s">
        <v>34</v>
      </c>
      <c r="B12" s="34">
        <v>537700000</v>
      </c>
      <c r="C12" s="34">
        <v>557500000</v>
      </c>
      <c r="D12" s="34">
        <v>579500000</v>
      </c>
      <c r="E12" s="34">
        <v>601200000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