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<sst xmlns="http://schemas.openxmlformats.org/spreadsheetml/2006/main" count="116" uniqueCount="101">
  <si>
    <t>Givaudan SA (GIVN.SW)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</si>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</sst>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0.01635781865509034</v>
      </c>
    </row>
    <row r="7" spans="1:2" x14ac:dyDescent="0.25">
      <c r="A7" t="s">
        <v>5</v>
      </c>
      <c r="B7" s="6">
        <v>0.17195026914725656</v>
      </c>
    </row>
    <row r="8" spans="1:2" x14ac:dyDescent="0.25">
      <c r="A8" t="s">
        <v>6</v>
      </c>
      <c r="B8" s="6">
        <v>0.13345390306316934</v>
      </c>
    </row>
    <row r="9" spans="1:2" x14ac:dyDescent="0.25">
      <c r="A9" t="s">
        <v>7</v>
      </c>
      <c r="B9" s="6">
        <v>0.05011169223528057</v>
      </c>
    </row>
    <row r="10" spans="1:2" x14ac:dyDescent="0.25">
      <c r="A10" t="s">
        <v>8</v>
      </c>
      <c r="B10" s="6">
        <v>0.04070819870131198</v>
      </c>
    </row>
    <row r="11" spans="1:2" x14ac:dyDescent="0.25">
      <c r="A11" t="s">
        <v>9</v>
      </c>
      <c r="B11" s="6">
        <v>0.08651911468812877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19.304213504587157</v>
      </c>
    </row>
    <row r="14" spans="1:3" x14ac:dyDescent="0.25">
      <c r="A14" t="s">
        <v>12</v>
      </c>
      <c r="B14" s="6">
        <v>0.12493957221628633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0.77086</v>
      </c>
      <c r="C19" s="8" t="s">
        <v>19</v>
      </c>
    </row>
    <row r="20" spans="1:2" x14ac:dyDescent="0.25">
      <c r="A20" t="s">
        <v>20</v>
      </c>
      <c r="B20" s="10">
        <f>B17+B19*B18</f>
        <v>0.047397299999999996</v>
      </c>
    </row>
    <row r="21" spans="1:3" x14ac:dyDescent="0.25">
      <c r="A21" t="s">
        <v>21</v>
      </c>
      <c r="B21" s="6">
        <v>0.0246536489582197</v>
      </c>
      <c r="C21" s="8" t="s">
        <v>22</v>
      </c>
    </row>
    <row r="22" spans="1:2" x14ac:dyDescent="0.25">
      <c r="A22" t="s">
        <v>23</v>
      </c>
      <c r="B22" s="11">
        <v>29992548352</v>
      </c>
    </row>
    <row r="23" spans="1:2" x14ac:dyDescent="0.25">
      <c r="A23" t="s">
        <v>24</v>
      </c>
      <c r="B23" s="11">
        <v>4416000000</v>
      </c>
    </row>
    <row r="24" spans="1:2" x14ac:dyDescent="0.25">
      <c r="A24" t="s">
        <v>25</v>
      </c>
      <c r="B24" s="10">
        <f>B22/(B22+B23)</f>
        <v>0.8716597993375295</v>
      </c>
    </row>
    <row r="25" spans="1:2" x14ac:dyDescent="0.25">
      <c r="A25" t="s">
        <v>26</v>
      </c>
      <c r="B25" s="10">
        <f>1-B24</f>
        <v>0.12834020066247054</v>
      </c>
    </row>
    <row r="26" spans="1:2" x14ac:dyDescent="0.25">
      <c r="A26" t="s">
        <v>27</v>
      </c>
      <c r="B26" s="12">
        <f>B24*B20+B25*B21*(1-B8)</f>
        <v>0.04405611987175274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7472000000</v>
      </c>
      <c r="C29" s="8" t="s">
        <v>30</v>
      </c>
    </row>
    <row r="30" spans="1:2" x14ac:dyDescent="0.25">
      <c r="A30" t="s">
        <v>31</v>
      </c>
      <c r="B30" s="11">
        <v>3674000000</v>
      </c>
    </row>
    <row r="31" spans="1:2" x14ac:dyDescent="0.25">
      <c r="A31" t="s">
        <v>32</v>
      </c>
      <c r="B31" s="13">
        <v>9276095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0.01635781865509034</v>
      </c>
      <c r="C5" s="10">
        <f>Assumptions!B6</f>
        <v>0.01635781865509034</v>
      </c>
      <c r="D5" s="10">
        <f>Assumptions!B6</f>
        <v>0.01635781865509034</v>
      </c>
      <c r="E5" s="10">
        <f>Assumptions!B6</f>
        <v>0.01635781865509034</v>
      </c>
      <c r="F5" s="10">
        <f>Assumptions!B6</f>
        <v>0.01635781865509034</v>
      </c>
    </row>
    <row r="6" spans="1:6" x14ac:dyDescent="0.25">
      <c r="A6" t="s">
        <v>43</v>
      </c>
      <c r="B6" s="18">
        <f>Assumptions!B29*(1+B5)</f>
        <v>7594225620.990835</v>
      </c>
      <c r="C6" s="18">
        <f>B6*(1+C5)</f>
        <v>7718450586.524844</v>
      </c>
      <c r="D6" s="18">
        <f>C6*(1+D5)</f>
        <v>7844707601.517493</v>
      </c>
      <c r="E6" s="18">
        <f>D6*(1+E5)</f>
        <v>7973029905.865325</v>
      </c>
      <c r="F6" s="18">
        <f>E6*(1+F5)</f>
        <v>8103451283.197082</v>
      </c>
    </row>
    <row r="7" spans="1:6" x14ac:dyDescent="0.25">
      <c r="A7" t="s">
        <v>5</v>
      </c>
      <c r="B7" s="10">
        <f>Assumptions!B7</f>
        <v>0.17195026914725656</v>
      </c>
      <c r="C7" s="10">
        <f>Assumptions!B7</f>
        <v>0.17195026914725656</v>
      </c>
      <c r="D7" s="10">
        <f>Assumptions!B7</f>
        <v>0.17195026914725656</v>
      </c>
      <c r="E7" s="10">
        <f>Assumptions!B7</f>
        <v>0.17195026914725656</v>
      </c>
      <c r="F7" s="10">
        <f>Assumptions!B7</f>
        <v>0.17195026914725656</v>
      </c>
    </row>
    <row r="8" spans="1:6" x14ac:dyDescent="0.25">
      <c r="A8" t="s">
        <v>44</v>
      </c>
      <c r="B8" s="18">
        <f>B6*B7</f>
        <v>1305829139.4943657</v>
      </c>
      <c r="C8" s="18">
        <f>C6*C7</f>
        <v>1327189655.7527473</v>
      </c>
      <c r="D8" s="18">
        <f>D6*D7</f>
        <v>1348899583.4624624</v>
      </c>
      <c r="E8" s="18">
        <f>E6*E7</f>
        <v>1370964638.2326682</v>
      </c>
      <c r="F8" s="18">
        <f>F6*F7</f>
        <v>1393390629.1674197</v>
      </c>
    </row>
    <row r="9" spans="1:6" x14ac:dyDescent="0.25">
      <c r="A9" t="s">
        <v>45</v>
      </c>
      <c r="B9" s="18">
        <f>B8*(1-Assumptions!B8)</f>
        <v>1131561144.0952227</v>
      </c>
      <c r="C9" s="18">
        <f>C8*(1-Assumptions!B8)</f>
        <v>1150071016.0874789</v>
      </c>
      <c r="D9" s="18">
        <f>D8*(1-Assumptions!B8)</f>
        <v>1168883669.2091134</v>
      </c>
      <c r="E9" s="18">
        <f>E8*(1-Assumptions!B8)</f>
        <v>1188004056.2989326</v>
      </c>
      <c r="F9" s="18">
        <f>F8*(1-Assumptions!B8)</f>
        <v>1207437211.2133822</v>
      </c>
    </row>
    <row r="10" spans="1:6" x14ac:dyDescent="0.25">
      <c r="A10" t="s">
        <v>46</v>
      </c>
      <c r="B10" s="18">
        <f>B6*Assumptions!B9</f>
        <v>380559497.0843752</v>
      </c>
      <c r="C10" s="18">
        <f>C6*Assumptions!B9</f>
        <v>386784620.3251538</v>
      </c>
      <c r="D10" s="18">
        <f>D6*Assumptions!B9</f>
        <v>393111573.00301063</v>
      </c>
      <c r="E10" s="18">
        <f>E6*Assumptions!B9</f>
        <v>399542020.8254112</v>
      </c>
      <c r="F10" s="18">
        <f>F6*Assumptions!B9</f>
        <v>406077656.74716157</v>
      </c>
    </row>
    <row r="11" spans="1:6" x14ac:dyDescent="0.25">
      <c r="A11" t="s">
        <v>47</v>
      </c>
      <c r="B11" s="18">
        <f>-B6*Assumptions!B10</f>
        <v>-309147245.5618893</v>
      </c>
      <c r="C11" s="18">
        <f>-C6*Assumptions!B10</f>
        <v>-314204220.14251137</v>
      </c>
      <c r="D11" s="18">
        <f>-D6*Assumptions!B10</f>
        <v>-319343915.7962667</v>
      </c>
      <c r="E11" s="18">
        <f>-E6*Assumptions!B10</f>
        <v>-324567685.6594684</v>
      </c>
      <c r="F11" s="18">
        <f>-F6*Assumptions!B10</f>
        <v>-329876905.00278836</v>
      </c>
    </row>
    <row r="12" spans="1:6" x14ac:dyDescent="0.25">
      <c r="A12" t="s">
        <v>48</v>
      </c>
      <c r="B12" s="18">
        <f>-(B6-Assumptions!B29)*Assumptions!B11</f>
        <v>-10574852.520333828</v>
      </c>
      <c r="C12" s="18">
        <f>-(C6-B6)*Assumptions!B11</f>
        <v>-10747834.040165767</v>
      </c>
      <c r="D12" s="18">
        <f>-(D6-C6)*Assumptions!B11</f>
        <v>-10923645.1603298</v>
      </c>
      <c r="E12" s="18">
        <f>-(E6-D6)*Assumptions!B11</f>
        <v>-11102332.166915018</v>
      </c>
      <c r="F12" s="18">
        <f>-(F6-E6)*Assumptions!B11</f>
        <v>-11283942.103149967</v>
      </c>
    </row>
    <row r="13" spans="1:6" x14ac:dyDescent="0.25">
      <c r="A13" s="19" t="s">
        <v>49</v>
      </c>
      <c r="B13" s="20">
        <f>B9+B10+B11+B12</f>
        <v>1192398543.097375</v>
      </c>
      <c r="C13" s="20">
        <f>C9+C10+C11+C12</f>
        <v>1211903582.2299557</v>
      </c>
      <c r="D13" s="20">
        <f>D9+D10+D11+D12</f>
        <v>1231727681.2555275</v>
      </c>
      <c r="E13" s="20">
        <f>E9+E10+E11+E12</f>
        <v>1251876059.2979605</v>
      </c>
      <c r="F13" s="20">
        <f>F9+F10+F11+F12</f>
        <v>1272354020.8546057</v>
      </c>
    </row>
    <row r="14" spans="1:6" x14ac:dyDescent="0.25">
      <c r="A14" t="s">
        <v>50</v>
      </c>
      <c r="B14" s="21">
        <f>1/(1+Assumptions!$B$26)^(1-0.5*Assumptions!$B$32)</f>
        <v>0.9786740620624473</v>
      </c>
      <c r="C14" s="21">
        <f>1/(1+Assumptions!$B$26)^(2-0.5*Assumptions!$B$32)</f>
        <v>0.9373768741307348</v>
      </c>
      <c r="D14" s="21">
        <f>1/(1+Assumptions!$B$26)^(3-0.5*Assumptions!$B$32)</f>
        <v>0.8978223069521186</v>
      </c>
      <c r="E14" s="21">
        <f>1/(1+Assumptions!$B$26)^(4-0.5*Assumptions!$B$32)</f>
        <v>0.8599368270188417</v>
      </c>
      <c r="F14" s="21">
        <f>1/(1+Assumptions!$B$26)^(5-0.5*Assumptions!$B$32)</f>
        <v>0.8236500037224747</v>
      </c>
    </row>
    <row r="15" spans="1:6" x14ac:dyDescent="0.25">
      <c r="A15" s="19" t="s">
        <v>51</v>
      </c>
      <c r="B15" s="20">
        <f>B13*B14</f>
        <v>1166969525.770452</v>
      </c>
      <c r="C15" s="20">
        <f>C13*C14</f>
        <v>1136010391.6585557</v>
      </c>
      <c r="D15" s="20">
        <f>D13*D14</f>
        <v>1105872588.3216214</v>
      </c>
      <c r="E15" s="20">
        <f>E13*E14</f>
        <v>1076534326.2535396</v>
      </c>
      <c r="F15" s="20">
        <f>F13*F14</f>
        <v>1047974394.0132016</v>
      </c>
    </row>
    <row r="17" spans="1:2" x14ac:dyDescent="0.25">
      <c r="A17" s="22" t="s">
        <v>52</v>
      </c>
      <c r="B17" s="23">
        <f>SUM(B15:F15)</f>
        <v>5533361226.01737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1272354020.8546057</v>
      </c>
    </row>
    <row r="5" spans="1:2" x14ac:dyDescent="0.25">
      <c r="A5" t="s">
        <v>56</v>
      </c>
      <c r="B5" s="18">
        <f>IF(Assumptions!$B$33=0,B4,B4-Forecast!F11-Forecast!F10-Forecast!F12)</f>
        <v>1358361350.1565425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0.20009673121596586</v>
      </c>
    </row>
    <row r="7" spans="1:2" x14ac:dyDescent="0.25">
      <c r="A7" t="s">
        <v>58</v>
      </c>
      <c r="B7" s="18">
        <f>-MAX(Forecast!F9,0)*B6</f>
        <v>-271803665.9764302</v>
      </c>
    </row>
    <row r="8" spans="1:2" x14ac:dyDescent="0.25">
      <c r="A8" t="s">
        <v>59</v>
      </c>
      <c r="B8" s="18">
        <f>IF(OR(Assumptions!$B$33=0,Assumptions!B12&lt;=0),B5,MAX(B5+B7,0))</f>
        <v>1086557684.1801124</v>
      </c>
    </row>
    <row r="9" spans="1:2" x14ac:dyDescent="0.25">
      <c r="A9" t="s">
        <v>60</v>
      </c>
      <c r="B9" s="18">
        <f>B8*(1+Assumptions!B12)/(Assumptions!B26-Assumptions!B12)</f>
        <v>58444302081.42774</v>
      </c>
    </row>
    <row r="10" spans="1:2" x14ac:dyDescent="0.25">
      <c r="A10" t="s">
        <v>61</v>
      </c>
      <c r="B10" s="18">
        <f>B9/(1+Assumptions!B26)^(5-0.5*Assumptions!B32)</f>
        <v>48137649626.92539</v>
      </c>
    </row>
    <row r="11" spans="1:2" x14ac:dyDescent="0.25">
      <c r="A11" t="s">
        <v>62</v>
      </c>
      <c r="B11" s="18">
        <f>Forecast!B17+B10</f>
        <v>53671010852.942764</v>
      </c>
    </row>
    <row r="12" spans="1:2" x14ac:dyDescent="0.25">
      <c r="A12" t="s">
        <v>63</v>
      </c>
      <c r="B12" s="18">
        <f>-Assumptions!B30</f>
        <v>-3674000000</v>
      </c>
    </row>
    <row r="13" spans="1:2" x14ac:dyDescent="0.25">
      <c r="A13" t="s">
        <v>64</v>
      </c>
      <c r="B13" s="18">
        <f>B11+B12</f>
        <v>49997010852.942764</v>
      </c>
    </row>
    <row r="14" spans="1:2" x14ac:dyDescent="0.25">
      <c r="A14" s="19" t="s">
        <v>65</v>
      </c>
      <c r="B14" s="24">
        <f>B13/Assumptions!B31</f>
        <v>5389.876974410327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1799468285.9145813</v>
      </c>
    </row>
    <row r="18" spans="1:2" x14ac:dyDescent="0.25">
      <c r="A18" t="s">
        <v>60</v>
      </c>
      <c r="B18" s="18">
        <f>B17*Assumptions!B13</f>
        <v>34737319986.028564</v>
      </c>
    </row>
    <row r="19" spans="1:2" x14ac:dyDescent="0.25">
      <c r="A19" t="s">
        <v>61</v>
      </c>
      <c r="B19" s="18">
        <f>B18/(1+Assumptions!B26)^(5-0.5*Assumptions!B32)</f>
        <v>28611393735.80122</v>
      </c>
    </row>
    <row r="20" spans="1:2" x14ac:dyDescent="0.25">
      <c r="A20" t="s">
        <v>62</v>
      </c>
      <c r="B20" s="18">
        <f>Forecast!B17+B19</f>
        <v>34144754961.81859</v>
      </c>
    </row>
    <row r="21" spans="1:2" x14ac:dyDescent="0.25">
      <c r="A21" t="s">
        <v>63</v>
      </c>
      <c r="B21" s="18">
        <f>-Assumptions!B30</f>
        <v>-3674000000</v>
      </c>
    </row>
    <row r="22" spans="1:2" x14ac:dyDescent="0.25">
      <c r="A22" t="s">
        <v>64</v>
      </c>
      <c r="B22" s="18">
        <f>B20+B21</f>
        <v>30470754961.81859</v>
      </c>
    </row>
    <row r="23" spans="1:2" x14ac:dyDescent="0.25">
      <c r="A23" s="19" t="s">
        <v>65</v>
      </c>
      <c r="B23" s="25">
        <f>B22/Assumptions!B31</f>
        <v>3284.868790349666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5389.876974410327</v>
      </c>
    </row>
    <row r="29" spans="1:2" x14ac:dyDescent="0.25">
      <c r="A29" s="19" t="s">
        <v>73</v>
      </c>
      <c r="B29" s="12">
        <f>B28/B26-1</f>
        <v>0.658934125703394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0.024056</v>
      </c>
      <c r="B5" s="31">
        <v>13206.666944126995</v>
      </c>
      <c r="C5" s="31">
        <v>28022.552655697826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0.034056</v>
      </c>
      <c r="B6" s="31">
        <v>6117.950360187718</v>
      </c>
      <c r="C6" s="31">
        <v>7891.502012826755</v>
      </c>
      <c r="D6" s="31">
        <v>11617.914943224376</v>
      </c>
      <c r="E6" s="31">
        <v>24519.309261434504</v>
      </c>
      <c r="F6" s="31" t="s">
        <v>76</v>
      </c>
    </row>
    <row r="7" spans="1:6" x14ac:dyDescent="0.25">
      <c r="A7" s="30">
        <v>0.044056</v>
      </c>
      <c r="B7" s="31">
        <v>3907.913773909736</v>
      </c>
      <c r="C7" s="31">
        <v>4495.900877258197</v>
      </c>
      <c r="D7" s="32">
        <v>5389.912467250467</v>
      </c>
      <c r="E7" s="31">
        <v>6916.525614152418</v>
      </c>
      <c r="F7" s="31">
        <v>10123.556501007915</v>
      </c>
    </row>
    <row r="8" spans="1:6" x14ac:dyDescent="0.25">
      <c r="A8" s="30">
        <v>0.054056</v>
      </c>
      <c r="B8" s="31">
        <v>2829.134053349364</v>
      </c>
      <c r="C8" s="31">
        <v>3093.511726591559</v>
      </c>
      <c r="D8" s="31">
        <v>3447.286944561003</v>
      </c>
      <c r="E8" s="31">
        <v>3946.203104784663</v>
      </c>
      <c r="F8" s="31">
        <v>4704.508430069699</v>
      </c>
    </row>
    <row r="9" spans="1:6" x14ac:dyDescent="0.25">
      <c r="A9" s="30">
        <v>0.064056</v>
      </c>
      <c r="B9" s="31">
        <v>2189.815405783516</v>
      </c>
      <c r="C9" s="31">
        <v>2327.092857121732</v>
      </c>
      <c r="D9" s="31">
        <v>2498.384455724975</v>
      </c>
      <c r="E9" s="31">
        <v>2718.6717675133636</v>
      </c>
      <c r="F9" s="31">
        <v>3013.2485596185425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7472000000</v>
      </c>
      <c r="C5" s="18">
        <v>7412000000</v>
      </c>
      <c r="D5" s="18">
        <v>6915000000</v>
      </c>
      <c r="E5" s="18">
        <v>7117000000</v>
      </c>
      <c r="F5" s="8" t="s">
        <v>85</v>
      </c>
    </row>
    <row r="6" spans="1:6" x14ac:dyDescent="0.25">
      <c r="A6" t="s">
        <v>44</v>
      </c>
      <c r="B6" s="18">
        <v>1375000000</v>
      </c>
      <c r="C6" s="18">
        <v>1406000000</v>
      </c>
      <c r="D6" s="18">
        <v>1108000000</v>
      </c>
      <c r="E6" s="18">
        <v>1095000000</v>
      </c>
      <c r="F6" s="8" t="s">
        <v>86</v>
      </c>
    </row>
    <row r="7" spans="1:6" x14ac:dyDescent="0.25">
      <c r="A7" t="s">
        <v>87</v>
      </c>
      <c r="B7" s="18">
        <v>369000000</v>
      </c>
      <c r="C7" s="18">
        <v>359000000</v>
      </c>
      <c r="D7" s="18">
        <v>356000000</v>
      </c>
      <c r="E7" s="18">
        <v>364000000</v>
      </c>
      <c r="F7" s="8" t="s">
        <v>88</v>
      </c>
    </row>
    <row r="8" spans="1:6" x14ac:dyDescent="0.25">
      <c r="A8" t="s">
        <v>89</v>
      </c>
      <c r="B8" s="18">
        <v>305000000</v>
      </c>
      <c r="C8" s="18">
        <v>293000000</v>
      </c>
      <c r="D8" s="18">
        <v>275000000</v>
      </c>
      <c r="E8" s="18">
        <v>304000000</v>
      </c>
      <c r="F8" s="8" t="s">
        <v>90</v>
      </c>
    </row>
    <row r="9" spans="1:6" x14ac:dyDescent="0.25">
      <c r="A9" t="s">
        <v>91</v>
      </c>
      <c r="B9" s="18">
        <v>-43000000</v>
      </c>
      <c r="C9" s="18">
        <v>43000000</v>
      </c>
      <c r="D9" s="18">
        <v>-48000000</v>
      </c>
      <c r="E9" s="18">
        <v>267000000</v>
      </c>
      <c r="F9" s="8" t="s">
        <v>92</v>
      </c>
    </row>
    <row r="10" spans="1:6" x14ac:dyDescent="0.25">
      <c r="A10" t="s">
        <v>93</v>
      </c>
      <c r="B10" s="18">
        <v>4416000000</v>
      </c>
      <c r="C10" s="18">
        <v>4751000000</v>
      </c>
      <c r="D10" s="18">
        <v>4905000000</v>
      </c>
      <c r="E10" s="18">
        <v>5005000000</v>
      </c>
      <c r="F10" s="8" t="s">
        <v>94</v>
      </c>
    </row>
    <row r="11" spans="1:6" x14ac:dyDescent="0.25">
      <c r="A11" t="s">
        <v>95</v>
      </c>
      <c r="B11" s="18">
        <v>742000000</v>
      </c>
      <c r="C11" s="18">
        <v>762000000</v>
      </c>
      <c r="D11" s="18">
        <v>608000000</v>
      </c>
      <c r="E11" s="18">
        <v>488000000</v>
      </c>
      <c r="F11" s="8" t="s">
        <v>96</v>
      </c>
    </row>
    <row r="12" spans="1:6" x14ac:dyDescent="0.25">
      <c r="A12" t="s">
        <v>32</v>
      </c>
      <c r="B12" s="34">
        <v>9276095</v>
      </c>
      <c r="C12" s="34">
        <v>9266555</v>
      </c>
      <c r="D12" s="34">
        <v>9256305</v>
      </c>
      <c r="E12" s="34">
        <v>9253148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2026-09-19T00:06:38Z</dcterms:modified>
</cp:coreProperties>
</file>