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<sst xmlns="http://schemas.openxmlformats.org/spreadsheetml/2006/main" count="115" uniqueCount="102">
  <si>
    <t>Globe Life Inc. (GL)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</si>
  <si>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</si>
  <si>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</si>
  <si>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</si>
  <si>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</si>
  <si>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</si>
  <si>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</si>
  <si>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</si>
  <si>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</si>
  <si>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</si>
  <si>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</si>
  <si>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</si>
  <si>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</si>
  <si>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</si>
  <si>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</si>
  <si>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</si>
  <si>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</si>
  <si>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</si>
  <si>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</si>
  <si>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</si>
  <si>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</si>
  <si>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</si>
  <si>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</si>
  <si>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</si>
  <si>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</si>
  <si>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</si>
  <si>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</si>
  <si>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</si>
  <si>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</si>
  <si>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</si>
  <si>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</si>
  <si>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</si>
  <si>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</si>
  <si>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</si>
  <si>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</si>
  <si>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</si>
  <si>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</si>
  <si>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</si>
  <si>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</si>
  <si>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</si>
  <si>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</si>
  <si>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</si>
  <si>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</si>
  <si>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</si>
  <si>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</si>
  <si>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</si>
  <si>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</si>
  <si>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</si>
  <si>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</si>
  <si>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</si>
  <si>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</si>
  <si>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</si>
  <si>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</si>
  <si>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</si>
  <si>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</si>
  <si>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</si>
  <si>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</si>
  <si>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</si>
  <si>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</si>
  <si>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</si>
  <si>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</si>
  <si>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</si>
  <si>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</si>
  <si>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</si>
  <si>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</si>
  <si>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</si>
  <si>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</si>
  <si>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</si>
  <si>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</si>
  <si>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</si>
  <si>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</si>
  <si>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</si>
  <si>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</si>
  <si>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</si>
  <si>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</si>
  <si>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</si>
  <si>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</si>
  <si>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</si>
  <si>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</si>
  <si>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</si>
  <si>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</si>
  <si>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</si>
  <si>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</si>
  <si>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</si>
  <si>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</si>
  <si>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</si>
  <si>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</si>
  <si>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</si>
  <si>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</si>
  <si>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</si>
  <si>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</si>
  <si>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</si>
  <si>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</si>
  <si>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</si>
  <si>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</si>
  <si>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</si>
  <si>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</si>
  <si>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</si>
  <si>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</si>
  <si>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Capital expenditure runs at 1.3%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</si>
  <si>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 usable EV/EBITDA (EBITDA is not positive), so the exit multiple falls back to 8x.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</si>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</sst>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0.046733910187802596</v>
      </c>
    </row>
    <row r="7" spans="1:2" x14ac:dyDescent="0.25">
      <c r="A7" t="s">
        <v>5</v>
      </c>
      <c r="B7" s="6">
        <v>0.22481135806175</v>
      </c>
    </row>
    <row r="8" spans="1:2" x14ac:dyDescent="0.25">
      <c r="A8" t="s">
        <v>6</v>
      </c>
      <c r="B8" s="6">
        <v>0.18990178093373433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0.012626342123385481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0.14089830004564793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0.63954</v>
      </c>
      <c r="C19" s="8" t="s">
        <v>19</v>
      </c>
    </row>
    <row r="20" spans="1:2" x14ac:dyDescent="0.25">
      <c r="A20" t="s">
        <v>20</v>
      </c>
      <c r="B20" s="10">
        <f>B17+B19*B18</f>
        <v>0.0851547</v>
      </c>
    </row>
    <row r="21" spans="1:3" x14ac:dyDescent="0.25">
      <c r="A21" t="s">
        <v>21</v>
      </c>
      <c r="B21" s="6">
        <v>0.05264430250241328</v>
      </c>
      <c r="C21" s="8" t="s">
        <v>22</v>
      </c>
    </row>
    <row r="22" spans="1:2" x14ac:dyDescent="0.25">
      <c r="A22" t="s">
        <v>23</v>
      </c>
      <c r="B22" s="11">
        <v>13327230976</v>
      </c>
    </row>
    <row r="23" spans="1:2" x14ac:dyDescent="0.25">
      <c r="A23" t="s">
        <v>24</v>
      </c>
      <c r="B23" s="11">
        <v>2625449000</v>
      </c>
    </row>
    <row r="24" spans="1:2" x14ac:dyDescent="0.25">
      <c r="A24" t="s">
        <v>25</v>
      </c>
      <c r="B24" s="10">
        <f>B22/(B22+B23)</f>
        <v>0.835422699888053</v>
      </c>
    </row>
    <row r="25" spans="1:2" x14ac:dyDescent="0.25">
      <c r="A25" t="s">
        <v>26</v>
      </c>
      <c r="B25" s="10">
        <f>1-B24</f>
        <v>0.16457730011194704</v>
      </c>
    </row>
    <row r="26" spans="1:2" x14ac:dyDescent="0.25">
      <c r="A26" t="s">
        <v>27</v>
      </c>
      <c r="B26" s="12">
        <f>B24*B20+B25*B21*(1-B8)</f>
        <v>0.07815890666718298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5994318000</v>
      </c>
      <c r="C29" s="8" t="s">
        <v>30</v>
      </c>
    </row>
    <row r="30" spans="1:2" x14ac:dyDescent="0.25">
      <c r="A30" t="s">
        <v>31</v>
      </c>
      <c r="B30" s="11">
        <v>-15423308000</v>
      </c>
    </row>
    <row r="31" spans="1:2" x14ac:dyDescent="0.25">
      <c r="A31" t="s">
        <v>32</v>
      </c>
      <c r="B31" s="13">
        <v>82525000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0.046733910187802596</v>
      </c>
      <c r="C5" s="10">
        <f>Assumptions!B6</f>
        <v>0.046733910187802596</v>
      </c>
      <c r="D5" s="10">
        <f>Assumptions!B6</f>
        <v>0.046733910187802596</v>
      </c>
      <c r="E5" s="10">
        <f>Assumptions!B6</f>
        <v>0.046733910187802596</v>
      </c>
      <c r="F5" s="10">
        <f>Assumptions!B6</f>
        <v>0.046733910187802596</v>
      </c>
    </row>
    <row r="6" spans="1:6" x14ac:dyDescent="0.25">
      <c r="A6" t="s">
        <v>43</v>
      </c>
      <c r="B6" s="18">
        <f>Assumptions!B29*(1+B5)</f>
        <v>6274455919.049129</v>
      </c>
      <c r="C6" s="18">
        <f>B6*(1+C5)</f>
        <v>6567685778.447297</v>
      </c>
      <c r="D6" s="18">
        <f>C6*(1+D5)</f>
        <v>6874619415.758962</v>
      </c>
      <c r="E6" s="18">
        <f>D6*(1+E5)</f>
        <v>7195897262.110365</v>
      </c>
      <c r="F6" s="18">
        <f>E6*(1+F5)</f>
        <v>7532189678.478485</v>
      </c>
    </row>
    <row r="7" spans="1:6" x14ac:dyDescent="0.25">
      <c r="A7" t="s">
        <v>5</v>
      </c>
      <c r="B7" s="10">
        <f>Assumptions!B7</f>
        <v>0.22481135806175</v>
      </c>
      <c r="C7" s="10">
        <f>Assumptions!B7</f>
        <v>0.22481135806175</v>
      </c>
      <c r="D7" s="10">
        <f>Assumptions!B7</f>
        <v>0.22481135806175</v>
      </c>
      <c r="E7" s="10">
        <f>Assumptions!B7</f>
        <v>0.22481135806175</v>
      </c>
      <c r="F7" s="10">
        <f>Assumptions!B7</f>
        <v>0.22481135806175</v>
      </c>
    </row>
    <row r="8" spans="1:6" x14ac:dyDescent="0.25">
      <c r="A8" t="s">
        <v>44</v>
      </c>
      <c r="B8" s="18">
        <f>B6*B7</f>
        <v>1410568956.2600203</v>
      </c>
      <c r="C8" s="18">
        <f>C6*C7</f>
        <v>1476490359.1755786</v>
      </c>
      <c r="D8" s="18">
        <f>D6*D7</f>
        <v>1545492527.0144465</v>
      </c>
      <c r="E8" s="18">
        <f>E6*E7</f>
        <v>1617719435.9678597</v>
      </c>
      <c r="F8" s="18">
        <f>F6*F7</f>
        <v>1693321790.7974443</v>
      </c>
    </row>
    <row r="9" spans="1:6" x14ac:dyDescent="0.25">
      <c r="A9" t="s">
        <v>45</v>
      </c>
      <c r="B9" s="18">
        <f>B8*(1-Assumptions!B8)</f>
        <v>1142699399.3364036</v>
      </c>
      <c r="C9" s="18">
        <f>C8*(1-Assumptions!B8)</f>
        <v>1196102210.4366472</v>
      </c>
      <c r="D9" s="18">
        <f>D8*(1-Assumptions!B8)</f>
        <v>1252000743.7146256</v>
      </c>
      <c r="E9" s="18">
        <f>E8*(1-Assumptions!B8)</f>
        <v>1310511634.026447</v>
      </c>
      <c r="F9" s="18">
        <f>F8*(1-Assumptions!B8)</f>
        <v>1371756967.0311093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-79223427.07201537</v>
      </c>
      <c r="C11" s="18">
        <f>-C6*Assumptions!B10</f>
        <v>-82925847.59756887</v>
      </c>
      <c r="D11" s="18">
        <f>-D6*Assumptions!B10</f>
        <v>-86801296.71144107</v>
      </c>
      <c r="E11" s="18">
        <f>-E6*Assumptions!B10</f>
        <v>-90857860.71613835</v>
      </c>
      <c r="F11" s="18">
        <f>-F6*Assumptions!B10</f>
        <v>-95104003.81870224</v>
      </c>
    </row>
    <row r="12" spans="1:6" x14ac:dyDescent="0.25">
      <c r="A12" t="s">
        <v>48</v>
      </c>
      <c r="B12" s="18">
        <f>-(B6-Assumptions!B29)*Assumptions!B11</f>
        <v>280137919.04912853</v>
      </c>
      <c r="C12" s="18">
        <f>-(C6-B6)*Assumptions!B11</f>
        <v>293229859.39816856</v>
      </c>
      <c r="D12" s="18">
        <f>-(D6-C6)*Assumptions!B11</f>
        <v>306933637.3116646</v>
      </c>
      <c r="E12" s="18">
        <f>-(E6-D6)*Assumptions!B11</f>
        <v>321277846.35140324</v>
      </c>
      <c r="F12" s="18">
        <f>-(F6-E6)*Assumptions!B11</f>
        <v>336292416.3681202</v>
      </c>
    </row>
    <row r="13" spans="1:6" x14ac:dyDescent="0.25">
      <c r="A13" s="19" t="s">
        <v>49</v>
      </c>
      <c r="B13" s="20">
        <f>B9+B10+B11+B12</f>
        <v>1343613891.3135166</v>
      </c>
      <c r="C13" s="20">
        <f>C9+C10+C11+C12</f>
        <v>1406406222.237247</v>
      </c>
      <c r="D13" s="20">
        <f>D9+D10+D11+D12</f>
        <v>1472133084.3148491</v>
      </c>
      <c r="E13" s="20">
        <f>E9+E10+E11+E12</f>
        <v>1540931619.661712</v>
      </c>
      <c r="F13" s="20">
        <f>F9+F10+F11+F12</f>
        <v>1612945379.5805273</v>
      </c>
    </row>
    <row r="14" spans="1:6" x14ac:dyDescent="0.25">
      <c r="A14" t="s">
        <v>50</v>
      </c>
      <c r="B14" s="21">
        <f>1/(1+Assumptions!$B$26)^(1-0.5*Assumptions!$B$32)</f>
        <v>0.9630716806656503</v>
      </c>
      <c r="C14" s="21">
        <f>1/(1+Assumptions!$B$26)^(2-0.5*Assumptions!$B$32)</f>
        <v>0.8932557851260612</v>
      </c>
      <c r="D14" s="21">
        <f>1/(1+Assumptions!$B$26)^(3-0.5*Assumptions!$B$32)</f>
        <v>0.8285010489662452</v>
      </c>
      <c r="E14" s="21">
        <f>1/(1+Assumptions!$B$26)^(4-0.5*Assumptions!$B$32)</f>
        <v>0.7684405738735831</v>
      </c>
      <c r="F14" s="21">
        <f>1/(1+Assumptions!$B$26)^(5-0.5*Assumptions!$B$32)</f>
        <v>0.7127340590720485</v>
      </c>
    </row>
    <row r="15" spans="1:6" x14ac:dyDescent="0.25">
      <c r="A15" s="19" t="s">
        <v>51</v>
      </c>
      <c r="B15" s="20">
        <f>B13*B14</f>
        <v>1293996488.473023</v>
      </c>
      <c r="C15" s="20">
        <f>C13*C14</f>
        <v>1256280494.2507098</v>
      </c>
      <c r="D15" s="20">
        <f>D13*D14</f>
        <v>1219663804.5727663</v>
      </c>
      <c r="E15" s="20">
        <f>E13*E14</f>
        <v>1184114378.1127958</v>
      </c>
      <c r="F15" s="20">
        <f>F13*F14</f>
        <v>1149601107.4499352</v>
      </c>
    </row>
    <row r="17" spans="1:2" x14ac:dyDescent="0.25">
      <c r="A17" s="22" t="s">
        <v>52</v>
      </c>
      <c r="B17" s="23">
        <f>SUM(B15:F15)</f>
        <v>6103656272.85923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1612945379.5805273</v>
      </c>
    </row>
    <row r="5" spans="1:2" x14ac:dyDescent="0.25">
      <c r="A5" t="s">
        <v>56</v>
      </c>
      <c r="B5" s="18">
        <f>IF(Assumptions!$B$33=0,B4,B4-Forecast!F11-Forecast!F10-Forecast!F12)</f>
        <v>1371756967.0311093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0.17743294271045537</v>
      </c>
    </row>
    <row r="7" spans="1:2" x14ac:dyDescent="0.25">
      <c r="A7" t="s">
        <v>58</v>
      </c>
      <c r="B7" s="18">
        <f>-MAX(Forecast!F9,0)*B6</f>
        <v>-243394875.34389883</v>
      </c>
    </row>
    <row r="8" spans="1:2" x14ac:dyDescent="0.25">
      <c r="A8" t="s">
        <v>59</v>
      </c>
      <c r="B8" s="18">
        <f>IF(OR(Assumptions!$B$33=0,Assumptions!B12&lt;=0),B5,MAX(B5+B7,0))</f>
        <v>1128362091.6872106</v>
      </c>
    </row>
    <row r="9" spans="1:2" x14ac:dyDescent="0.25">
      <c r="A9" t="s">
        <v>60</v>
      </c>
      <c r="B9" s="18">
        <f>B8*(1+Assumptions!B12)/(Assumptions!B26-Assumptions!B12)</f>
        <v>21756864775.65172</v>
      </c>
    </row>
    <row r="10" spans="1:2" x14ac:dyDescent="0.25">
      <c r="A10" t="s">
        <v>61</v>
      </c>
      <c r="B10" s="18">
        <f>B9/(1+Assumptions!B26)^(5-0.5*Assumptions!B32)</f>
        <v>15506858544.231922</v>
      </c>
    </row>
    <row r="11" spans="1:2" x14ac:dyDescent="0.25">
      <c r="A11" t="s">
        <v>62</v>
      </c>
      <c r="B11" s="18">
        <f>Forecast!B17+B10</f>
        <v>21610514817.091152</v>
      </c>
    </row>
    <row r="12" spans="1:2" x14ac:dyDescent="0.25">
      <c r="A12" t="s">
        <v>63</v>
      </c>
      <c r="B12" s="18">
        <f>-Assumptions!B30</f>
        <v>15423308000.000004</v>
      </c>
    </row>
    <row r="13" spans="1:2" x14ac:dyDescent="0.25">
      <c r="A13" t="s">
        <v>64</v>
      </c>
      <c r="B13" s="18">
        <f>B11+B12</f>
        <v>37033822817.091156</v>
      </c>
    </row>
    <row r="14" spans="1:2" x14ac:dyDescent="0.25">
      <c r="A14" s="19" t="s">
        <v>65</v>
      </c>
      <c r="B14" s="24">
        <f>B13/Assumptions!B31</f>
        <v>448.75883449974134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1693321790.7974443</v>
      </c>
    </row>
    <row r="18" spans="1:2" x14ac:dyDescent="0.25">
      <c r="A18" t="s">
        <v>60</v>
      </c>
      <c r="B18" s="18">
        <f>B17*Assumptions!B13</f>
        <v>13546574326.379555</v>
      </c>
    </row>
    <row r="19" spans="1:2" x14ac:dyDescent="0.25">
      <c r="A19" t="s">
        <v>61</v>
      </c>
      <c r="B19" s="18">
        <f>B18/(1+Assumptions!B26)^(5-0.5*Assumptions!B32)</f>
        <v>9655104906.161701</v>
      </c>
    </row>
    <row r="20" spans="1:2" x14ac:dyDescent="0.25">
      <c r="A20" t="s">
        <v>62</v>
      </c>
      <c r="B20" s="18">
        <f>Forecast!B17+B19</f>
        <v>15758761179.020931</v>
      </c>
    </row>
    <row r="21" spans="1:2" x14ac:dyDescent="0.25">
      <c r="A21" t="s">
        <v>63</v>
      </c>
      <c r="B21" s="18">
        <f>-Assumptions!B30</f>
        <v>15423308000</v>
      </c>
    </row>
    <row r="22" spans="1:2" x14ac:dyDescent="0.25">
      <c r="A22" t="s">
        <v>64</v>
      </c>
      <c r="B22" s="18">
        <f>B20+B21</f>
        <v>31182069179.02093</v>
      </c>
    </row>
    <row r="23" spans="1:2" x14ac:dyDescent="0.25">
      <c r="A23" s="19" t="s">
        <v>65</v>
      </c>
      <c r="B23" s="25">
        <f>B22/Assumptions!B31</f>
        <v>377.849974904828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173.42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448.75883449974134</v>
      </c>
    </row>
    <row r="29" spans="1:2" x14ac:dyDescent="0.25">
      <c r="A29" s="19" t="s">
        <v>73</v>
      </c>
      <c r="B29" s="12">
        <f>B28/B26-1</f>
        <v>1.5876994262469228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0.058159</v>
      </c>
      <c r="B5" s="31">
        <v>535.1849551857939</v>
      </c>
      <c r="C5" s="31">
        <v>559.9571581933736</v>
      </c>
      <c r="D5" s="31">
        <v>592.0621587808668</v>
      </c>
      <c r="E5" s="31">
        <v>635.4060602793114</v>
      </c>
      <c r="F5" s="31">
        <v>697.2682578985298</v>
      </c>
    </row>
    <row r="6" spans="1:6" x14ac:dyDescent="0.25">
      <c r="A6" s="30">
        <v>0.068159</v>
      </c>
      <c r="B6" s="31">
        <v>473.3438681526531</v>
      </c>
      <c r="C6" s="31">
        <v>487.0882175166865</v>
      </c>
      <c r="D6" s="31">
        <v>503.9155681921047</v>
      </c>
      <c r="E6" s="31">
        <v>525.0378235220452</v>
      </c>
      <c r="F6" s="31">
        <v>552.3978518022296</v>
      </c>
    </row>
    <row r="7" spans="1:6" x14ac:dyDescent="0.25">
      <c r="A7" s="30">
        <v>0.078159</v>
      </c>
      <c r="B7" s="31">
        <v>430.9771758247371</v>
      </c>
      <c r="C7" s="31">
        <v>439.13960238480394</v>
      </c>
      <c r="D7" s="32">
        <v>448.758415763205</v>
      </c>
      <c r="E7" s="31">
        <v>460.2872342301497</v>
      </c>
      <c r="F7" s="31">
        <v>474.389884017204</v>
      </c>
    </row>
    <row r="8" spans="1:6" x14ac:dyDescent="0.25">
      <c r="A8" s="30">
        <v>0.088159</v>
      </c>
      <c r="B8" s="31">
        <v>400.10460605981746</v>
      </c>
      <c r="C8" s="31">
        <v>405.1496061559595</v>
      </c>
      <c r="D8" s="31">
        <v>410.9295274666042</v>
      </c>
      <c r="E8" s="31">
        <v>417.6339162050209</v>
      </c>
      <c r="F8" s="31">
        <v>425.52363151860885</v>
      </c>
    </row>
    <row r="9" spans="1:6" x14ac:dyDescent="0.25">
      <c r="A9" s="30">
        <v>0.098159</v>
      </c>
      <c r="B9" s="31">
        <v>376.58411600799093</v>
      </c>
      <c r="C9" s="31">
        <v>379.76606493835004</v>
      </c>
      <c r="D9" s="31">
        <v>383.33004521309937</v>
      </c>
      <c r="E9" s="31">
        <v>387.36013186511576</v>
      </c>
      <c r="F9" s="31">
        <v>391.96702322177947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5994318000</v>
      </c>
      <c r="C5" s="18">
        <v>5778069000</v>
      </c>
      <c r="D5" s="18">
        <v>5447533000</v>
      </c>
      <c r="E5" s="18">
        <v>5226740000</v>
      </c>
      <c r="F5" s="8" t="s">
        <v>84</v>
      </c>
    </row>
    <row r="6" spans="1:6" x14ac:dyDescent="0.25">
      <c r="A6" t="s">
        <v>44</v>
      </c>
      <c r="B6" s="18">
        <v>1435975000</v>
      </c>
      <c r="C6" s="18">
        <v>1326637000</v>
      </c>
      <c r="D6" s="18">
        <v>1194266000</v>
      </c>
      <c r="E6" s="18">
        <v>1102111000</v>
      </c>
      <c r="F6" s="8" t="s">
        <v>85</v>
      </c>
    </row>
    <row r="7" spans="1:6" x14ac:dyDescent="0.25">
      <c r="A7" t="s">
        <v>86</v>
      </c>
      <c r="B7" s="18">
        <v>0</v>
      </c>
      <c r="C7" s="18">
        <v>0</v>
      </c>
      <c r="D7" s="18">
        <v>0</v>
      </c>
      <c r="E7" s="18">
        <v>0</v>
      </c>
      <c r="F7" s="8" t="s">
        <v>85</v>
      </c>
    </row>
    <row r="8" spans="1:6" x14ac:dyDescent="0.25">
      <c r="A8" t="s">
        <v>87</v>
      </c>
      <c r="B8" s="18">
        <v>142484000</v>
      </c>
      <c r="C8" s="18">
        <v>71045000</v>
      </c>
      <c r="D8" s="18">
        <v>49553000</v>
      </c>
      <c r="E8" s="18">
        <v>27929000</v>
      </c>
      <c r="F8" s="8" t="s">
        <v>88</v>
      </c>
    </row>
    <row r="9" spans="1:6" x14ac:dyDescent="0.25">
      <c r="A9" t="s">
        <v>89</v>
      </c>
      <c r="B9" s="18">
        <v>-702147000</v>
      </c>
      <c r="C9" s="18">
        <v>-828615000</v>
      </c>
      <c r="D9" s="18">
        <v>-941262000</v>
      </c>
      <c r="E9" s="18">
        <v>-886899000</v>
      </c>
      <c r="F9" s="8" t="s">
        <v>90</v>
      </c>
    </row>
    <row r="10" spans="1:6" x14ac:dyDescent="0.25">
      <c r="A10" t="s">
        <v>91</v>
      </c>
      <c r="B10" s="18">
        <v>2625449000</v>
      </c>
      <c r="C10" s="18">
        <v>2739652000</v>
      </c>
      <c r="D10" s="18">
        <v>2115672000</v>
      </c>
      <c r="E10" s="18">
        <v>2077055000</v>
      </c>
      <c r="F10" s="8" t="s">
        <v>92</v>
      </c>
    </row>
    <row r="11" spans="1:6" x14ac:dyDescent="0.25">
      <c r="A11" t="s">
        <v>93</v>
      </c>
      <c r="B11" s="18">
        <v>18048757000</v>
      </c>
      <c r="C11" s="18">
        <v>17405372000</v>
      </c>
      <c r="D11" s="18">
        <v>18055102000</v>
      </c>
      <c r="E11" s="18">
        <v>16710045000</v>
      </c>
      <c r="F11" s="8" t="s">
        <v>94</v>
      </c>
    </row>
    <row r="12" spans="1:6" x14ac:dyDescent="0.25">
      <c r="A12" t="s">
        <v>32</v>
      </c>
      <c r="B12" s="34">
        <v>82525000</v>
      </c>
      <c r="C12" s="34">
        <v>89661000</v>
      </c>
      <c r="D12" s="34">
        <v>96364000</v>
      </c>
      <c r="E12" s="34">
        <v>98985000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22" customHeight="1" spans="1:6" x14ac:dyDescent="0.25">
      <c r="A17" s="35" t="s">
        <v>98</v>
      </c>
      <c r="B17" s="35"/>
      <c r="C17" s="35"/>
      <c r="D17" s="35"/>
      <c r="E17" s="35"/>
      <c r="F17" s="35"/>
    </row>
    <row r="18" ht="54" customHeight="1" spans="1:6" x14ac:dyDescent="0.25">
      <c r="A18" s="35" t="s">
        <v>99</v>
      </c>
      <c r="B18" s="35"/>
      <c r="C18" s="35"/>
      <c r="D18" s="35"/>
      <c r="E18" s="35"/>
      <c r="F18" s="35"/>
    </row>
    <row r="19" ht="22" customHeight="1" spans="1:6" x14ac:dyDescent="0.25">
      <c r="A19" s="35" t="s">
        <v>100</v>
      </c>
      <c r="B19" s="35"/>
      <c r="C19" s="35"/>
      <c r="D19" s="35"/>
      <c r="E19" s="35"/>
      <c r="F19" s="35"/>
    </row>
    <row r="21" spans="1:1" x14ac:dyDescent="0.25">
      <c r="A21" s="36" t="s">
        <v>101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2026-09-19T00:06:19Z</dcterms:modified>
</cp:coreProperties>
</file>