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<sst xmlns="http://schemas.openxmlformats.org/spreadsheetml/2006/main" count="117" uniqueCount="105">
  <si>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Société Générale Société anonyme (GLE.PA)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</si>
  <si>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</si>
  <si>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</si>
  <si>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</si>
  <si>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</si>
  <si>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</si>
  <si>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</si>
  <si>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</si>
  <si>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</si>
  <si>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</si>
  <si>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</si>
  <si>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</si>
  <si>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</si>
  <si>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</si>
  <si>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</si>
  <si>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</si>
  <si>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</si>
  <si>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</si>
  <si>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</si>
  <si>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</si>
  <si>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</si>
  <si>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</si>
  <si>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19.2% is not a credible funding cost, so risk-free + 2bp is assumed instead. Interest expense and reported debt are measuring different things - common for banks, whose interest expense includes deposits that total debt excludes.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</si>
  <si>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</si>
  <si>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</si>
  <si>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</si>
  <si>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</si>
  <si>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</si>
  <si>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</si>
  <si>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</si>
  <si>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</si>
  <si>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</si>
  <si>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</si>
  <si>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</si>
  <si>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</si>
  <si>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</si>
  <si>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</si>
  <si>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</si>
  <si>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</si>
  <si>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</si>
  <si>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</si>
  <si>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</si>
  <si>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</si>
  <si>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</si>
  <si>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</si>
  <si>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</si>
  <si>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</si>
  <si>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</si>
  <si>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</si>
  <si>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</si>
  <si>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</si>
  <si>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</si>
  <si>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</si>
  <si>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</si>
  <si>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</si>
  <si>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</si>
  <si>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</si>
  <si>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</si>
  <si>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</si>
  <si>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</si>
  <si>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</si>
  <si>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</si>
  <si>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</si>
  <si>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</si>
  <si>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</si>
  <si>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</si>
  <si>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</si>
  <si>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</si>
  <si>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</si>
  <si>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</si>
  <si>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</si>
  <si>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</si>
  <si>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</si>
  <si>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</si>
  <si>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</si>
  <si>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</si>
  <si>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</si>
  <si>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</si>
  <si>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</si>
  <si>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</si>
  <si>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</si>
  <si>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</si>
  <si>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</si>
  <si>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</si>
  <si>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</si>
  <si>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</si>
  <si>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</si>
  <si>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</si>
  <si>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</si>
  <si>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</si>
  <si>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</si>
  <si>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</si>
  <si>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</si>
  <si>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</si>
  <si>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</si>
  <si>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</si>
  <si>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</si>
  <si>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</si>
  <si>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</si>
  <si>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</si>
  <si>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Free cashflow is negative in at least one forecast year, so terminal value carries most of the valuation.</t>
  </si>
  <si>
    <t>Adjusted: Capital expenditure runs at 23.2% of revenue against depreciation of 17.7%.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</si>
  <si>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</si>
  <si>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Current EV/EBITDA of 1.3x sits outside a defensible 3-20x band, so the exit multiple is capped at 3.0x. A multiple that far out usually means EBITDA is the wrong denominator for this business.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</si>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</sst>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0.13370648776675575</v>
      </c>
    </row>
    <row r="7" spans="1:2" x14ac:dyDescent="0.25">
      <c r="A7" t="s">
        <v>5</v>
      </c>
      <c r="B7" s="6">
        <v>0.13214363624066047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0.1773665600502456</v>
      </c>
    </row>
    <row r="10" spans="1:2" x14ac:dyDescent="0.25">
      <c r="A10" t="s">
        <v>8</v>
      </c>
      <c r="B10" s="6">
        <v>0.2321518771215077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0.05104782407707759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0.97722</v>
      </c>
      <c r="C19" s="8" t="s">
        <v>19</v>
      </c>
    </row>
    <row r="20" spans="1:2" x14ac:dyDescent="0.25">
      <c r="A20" t="s">
        <v>20</v>
      </c>
      <c r="B20" s="10">
        <f>B17+B19*B18</f>
        <v>0.0906332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52604174336</v>
      </c>
    </row>
    <row r="23" spans="1:2" x14ac:dyDescent="0.25">
      <c r="A23" t="s">
        <v>24</v>
      </c>
      <c r="B23" s="11">
        <v>167072000000</v>
      </c>
    </row>
    <row r="24" spans="1:2" x14ac:dyDescent="0.25">
      <c r="A24" t="s">
        <v>25</v>
      </c>
      <c r="B24" s="10">
        <f>B22/(B22+B23)</f>
        <v>0.239462356329734</v>
      </c>
    </row>
    <row r="25" spans="1:2" x14ac:dyDescent="0.25">
      <c r="A25" t="s">
        <v>26</v>
      </c>
      <c r="B25" s="10">
        <f>1-B24</f>
        <v>0.760537643670266</v>
      </c>
    </row>
    <row r="26" spans="1:2" x14ac:dyDescent="0.25">
      <c r="A26" t="s">
        <v>27</v>
      </c>
      <c r="B26" s="12">
        <f>B24*B20+B25*B21*(1-B8)</f>
        <v>0.05104782407707759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52597000000</v>
      </c>
      <c r="C29" s="8" t="s">
        <v>30</v>
      </c>
    </row>
    <row r="30" spans="1:2" x14ac:dyDescent="0.25">
      <c r="A30" t="s">
        <v>31</v>
      </c>
      <c r="B30" s="11">
        <v>-28064000000</v>
      </c>
    </row>
    <row r="31" spans="1:2" x14ac:dyDescent="0.25">
      <c r="A31" t="s">
        <v>32</v>
      </c>
      <c r="B31" s="13">
        <v>776255000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0.13370648776675575</v>
      </c>
      <c r="C5" s="10">
        <f>Assumptions!B6</f>
        <v>0.13370648776675575</v>
      </c>
      <c r="D5" s="10">
        <f>Assumptions!B6</f>
        <v>0.13370648776675575</v>
      </c>
      <c r="E5" s="10">
        <f>Assumptions!B6</f>
        <v>0.13370648776675575</v>
      </c>
      <c r="F5" s="10">
        <f>Assumptions!B6</f>
        <v>0.13370648776675575</v>
      </c>
    </row>
    <row r="6" spans="1:6" x14ac:dyDescent="0.25">
      <c r="A6" t="s">
        <v>43</v>
      </c>
      <c r="B6" s="18">
        <f>Assumptions!B29*(1+B5)</f>
        <v>59629560137.068054</v>
      </c>
      <c r="C6" s="18">
        <f>B6*(1+C5)</f>
        <v>67602419190.07197</v>
      </c>
      <c r="D6" s="18">
        <f>C6*(1+D5)</f>
        <v>76641301224.51242</v>
      </c>
      <c r="E6" s="18">
        <f>D6*(1+E5)</f>
        <v>86888740429.11594</v>
      </c>
      <c r="F6" s="18">
        <f>E6*(1+F5)</f>
        <v>98506328738.37035</v>
      </c>
    </row>
    <row r="7" spans="1:6" x14ac:dyDescent="0.25">
      <c r="A7" t="s">
        <v>5</v>
      </c>
      <c r="B7" s="10">
        <f>Assumptions!B7</f>
        <v>0.13214363624066047</v>
      </c>
      <c r="C7" s="10">
        <f>Assumptions!B7</f>
        <v>0.13214363624066047</v>
      </c>
      <c r="D7" s="10">
        <f>Assumptions!B7</f>
        <v>0.13214363624066047</v>
      </c>
      <c r="E7" s="10">
        <f>Assumptions!B7</f>
        <v>0.13214363624066047</v>
      </c>
      <c r="F7" s="10">
        <f>Assumptions!B7</f>
        <v>0.13214363624066047</v>
      </c>
    </row>
    <row r="8" spans="1:6" x14ac:dyDescent="0.25">
      <c r="A8" t="s">
        <v>44</v>
      </c>
      <c r="B8" s="18">
        <f>B6*B7</f>
        <v>7879666903.943309</v>
      </c>
      <c r="C8" s="18">
        <f>C6*C7</f>
        <v>8933229490.441515</v>
      </c>
      <c r="D8" s="18">
        <f>D6*D7</f>
        <v>10127660230.022856</v>
      </c>
      <c r="E8" s="18">
        <f>E6*E7</f>
        <v>11481794108.674265</v>
      </c>
      <c r="F8" s="18">
        <f>F6*F7</f>
        <v>13016984472.20613</v>
      </c>
    </row>
    <row r="9" spans="1:6" x14ac:dyDescent="0.25">
      <c r="A9" t="s">
        <v>45</v>
      </c>
      <c r="B9" s="18">
        <f>B8*(1-Assumptions!B8)</f>
        <v>5846712842.725935</v>
      </c>
      <c r="C9" s="18">
        <f>C8*(1-Assumptions!B8)</f>
        <v>6628456281.907604</v>
      </c>
      <c r="D9" s="18">
        <f>D8*(1-Assumptions!B8)</f>
        <v>7514723890.676959</v>
      </c>
      <c r="E9" s="18">
        <f>E8*(1-Assumptions!B8)</f>
        <v>8519491228.636305</v>
      </c>
      <c r="F9" s="18">
        <f>F8*(1-Assumptions!B8)</f>
        <v>9658602478.376947</v>
      </c>
    </row>
    <row r="10" spans="1:6" x14ac:dyDescent="0.25">
      <c r="A10" t="s">
        <v>46</v>
      </c>
      <c r="B10" s="18">
        <f>B6*Assumptions!B9</f>
        <v>10576289958.821012</v>
      </c>
      <c r="C10" s="18">
        <f>C6*Assumptions!B9</f>
        <v>11990408542.817774</v>
      </c>
      <c r="D10" s="18">
        <f>D6*Assumptions!B9</f>
        <v>13593603955.966444</v>
      </c>
      <c r="E10" s="18">
        <f>E6*Assumptions!B9</f>
        <v>15411156997.010994</v>
      </c>
      <c r="F10" s="18">
        <f>F6*Assumptions!B9</f>
        <v>17471728671.5034</v>
      </c>
    </row>
    <row r="11" spans="1:6" x14ac:dyDescent="0.25">
      <c r="A11" t="s">
        <v>47</v>
      </c>
      <c r="B11" s="18">
        <f>-B6*Assumptions!B10</f>
        <v>-13843114317.750177</v>
      </c>
      <c r="C11" s="18">
        <f>-C6*Assumptions!B10</f>
        <v>-15694028512.93024</v>
      </c>
      <c r="D11" s="18">
        <f>-D6*Assumptions!B10</f>
        <v>-17792421944.305466</v>
      </c>
      <c r="E11" s="18">
        <f>-E6*Assumptions!B10</f>
        <v>-20171384191.3427</v>
      </c>
      <c r="F11" s="18">
        <f>-F6*Assumptions!B10</f>
        <v>-22868429124.960995</v>
      </c>
    </row>
    <row r="12" spans="1:6" x14ac:dyDescent="0.25">
      <c r="A12" t="s">
        <v>48</v>
      </c>
      <c r="B12" s="18">
        <f>-(B6-Assumptions!B29)*Assumptions!B11</f>
        <v>-7032560137.068054</v>
      </c>
      <c r="C12" s="18">
        <f>-(C6-B6)*Assumptions!B11</f>
        <v>-7972859053.003914</v>
      </c>
      <c r="D12" s="18">
        <f>-(D6-C6)*Assumptions!B11</f>
        <v>-9038882034.440453</v>
      </c>
      <c r="E12" s="18">
        <f>-(E6-D6)*Assumptions!B11</f>
        <v>-10247439204.603516</v>
      </c>
      <c r="F12" s="18">
        <f>-(F6-E6)*Assumptions!B11</f>
        <v>-11617588309.25441</v>
      </c>
    </row>
    <row r="13" spans="1:6" x14ac:dyDescent="0.25">
      <c r="A13" s="19" t="s">
        <v>49</v>
      </c>
      <c r="B13" s="20">
        <f>B9+B10+B11+B12</f>
        <v>-4452671653.271284</v>
      </c>
      <c r="C13" s="20">
        <f>C9+C10+C11+C12</f>
        <v>-5048022741.208775</v>
      </c>
      <c r="D13" s="20">
        <f>D9+D10+D11+D12</f>
        <v>-5722976132.102516</v>
      </c>
      <c r="E13" s="20">
        <f>E9+E10+E11+E12</f>
        <v>-6488175170.298916</v>
      </c>
      <c r="F13" s="20">
        <f>F9+F10+F11+F12</f>
        <v>-7355686284.335056</v>
      </c>
    </row>
    <row r="14" spans="1:6" x14ac:dyDescent="0.25">
      <c r="A14" t="s">
        <v>50</v>
      </c>
      <c r="B14" s="21">
        <f>1/(1+Assumptions!$B$26)^(1-0.5*Assumptions!$B$32)</f>
        <v>0.9754134982391139</v>
      </c>
      <c r="C14" s="21">
        <f>1/(1+Assumptions!$B$26)^(2-0.5*Assumptions!$B$32)</f>
        <v>0.9280391204801953</v>
      </c>
      <c r="D14" s="21">
        <f>1/(1+Assumptions!$B$26)^(3-0.5*Assumptions!$B$32)</f>
        <v>0.8829656455405386</v>
      </c>
      <c r="E14" s="21">
        <f>1/(1+Assumptions!$B$26)^(4-0.5*Assumptions!$B$32)</f>
        <v>0.8400813220044183</v>
      </c>
      <c r="F14" s="21">
        <f>1/(1+Assumptions!$B$26)^(5-0.5*Assumptions!$B$32)</f>
        <v>0.7992798260555761</v>
      </c>
    </row>
    <row r="15" spans="1:6" x14ac:dyDescent="0.25">
      <c r="A15" s="19" t="s">
        <v>51</v>
      </c>
      <c r="B15" s="20">
        <f>B13*B14</f>
        <v>-4343196033.827482</v>
      </c>
      <c r="C15" s="20">
        <f>C13*C14</f>
        <v>-4684762584.915416</v>
      </c>
      <c r="D15" s="20">
        <f>D13*D14</f>
        <v>-5053191314.894993</v>
      </c>
      <c r="E15" s="20">
        <f>E13*E14</f>
        <v>-5450594774.460956</v>
      </c>
      <c r="F15" s="20">
        <f>F13*F14</f>
        <v>-5879251653.862711</v>
      </c>
    </row>
    <row r="17" spans="1:2" x14ac:dyDescent="0.25">
      <c r="A17" s="22" t="s">
        <v>52</v>
      </c>
      <c r="B17" s="23">
        <f>SUM(B15:F15)</f>
        <v>-25410996361.961555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-7355686284.335056</v>
      </c>
    </row>
    <row r="5" spans="1:2" x14ac:dyDescent="0.25">
      <c r="A5" t="s">
        <v>56</v>
      </c>
      <c r="B5" s="18">
        <f>IF(Assumptions!$B$33=0,B4,B4-Forecast!F11-Forecast!F10-Forecast!F12)</f>
        <v>9658602478.376947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0.4897368389738271</v>
      </c>
    </row>
    <row r="7" spans="1:2" x14ac:dyDescent="0.25">
      <c r="A7" t="s">
        <v>58</v>
      </c>
      <c r="B7" s="18">
        <f>-MAX(Forecast!F9,0)*B6</f>
        <v>-4730173446.665098</v>
      </c>
    </row>
    <row r="8" spans="1:2" x14ac:dyDescent="0.25">
      <c r="A8" t="s">
        <v>59</v>
      </c>
      <c r="B8" s="18">
        <f>IF(OR(Assumptions!$B$33=0,Assumptions!B12&lt;=0),B5,MAX(B5+B7,0))</f>
        <v>4928429031.711849</v>
      </c>
    </row>
    <row r="9" spans="1:2" x14ac:dyDescent="0.25">
      <c r="A9" t="s">
        <v>60</v>
      </c>
      <c r="B9" s="18">
        <f>B8*(1+Assumptions!B12)/(Assumptions!B26-Assumptions!B12)</f>
        <v>193937111313.269</v>
      </c>
    </row>
    <row r="10" spans="1:2" x14ac:dyDescent="0.25">
      <c r="A10" t="s">
        <v>61</v>
      </c>
      <c r="B10" s="18">
        <f>B9/(1+Assumptions!B26)^(5-0.5*Assumptions!B32)</f>
        <v>155010020596.19055</v>
      </c>
    </row>
    <row r="11" spans="1:2" x14ac:dyDescent="0.25">
      <c r="A11" t="s">
        <v>62</v>
      </c>
      <c r="B11" s="18">
        <f>Forecast!B17+B10</f>
        <v>129599024234.229</v>
      </c>
    </row>
    <row r="12" spans="1:2" x14ac:dyDescent="0.25">
      <c r="A12" t="s">
        <v>63</v>
      </c>
      <c r="B12" s="18">
        <f>-Assumptions!B30</f>
        <v>28064000000</v>
      </c>
    </row>
    <row r="13" spans="1:2" x14ac:dyDescent="0.25">
      <c r="A13" t="s">
        <v>64</v>
      </c>
      <c r="B13" s="18">
        <f>B11+B12</f>
        <v>157663024234.229</v>
      </c>
    </row>
    <row r="14" spans="1:2" x14ac:dyDescent="0.25">
      <c r="A14" s="19" t="s">
        <v>65</v>
      </c>
      <c r="B14" s="24">
        <f>B13/Assumptions!B31</f>
        <v>203.1072575818887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30488713143.709526</v>
      </c>
    </row>
    <row r="18" spans="1:2" x14ac:dyDescent="0.25">
      <c r="A18" t="s">
        <v>60</v>
      </c>
      <c r="B18" s="18">
        <f>B17*Assumptions!B13</f>
        <v>91466139431.12857</v>
      </c>
    </row>
    <row r="19" spans="1:2" x14ac:dyDescent="0.25">
      <c r="A19" t="s">
        <v>61</v>
      </c>
      <c r="B19" s="18">
        <f>B18/(1+Assumptions!B26)^(5-0.5*Assumptions!B32)</f>
        <v>73107040014.48752</v>
      </c>
    </row>
    <row r="20" spans="1:2" x14ac:dyDescent="0.25">
      <c r="A20" t="s">
        <v>62</v>
      </c>
      <c r="B20" s="18">
        <f>Forecast!B17+B19</f>
        <v>47696043652.52596</v>
      </c>
    </row>
    <row r="21" spans="1:2" x14ac:dyDescent="0.25">
      <c r="A21" t="s">
        <v>63</v>
      </c>
      <c r="B21" s="18">
        <f>-Assumptions!B30</f>
        <v>28064000000.000008</v>
      </c>
    </row>
    <row r="22" spans="1:2" x14ac:dyDescent="0.25">
      <c r="A22" t="s">
        <v>64</v>
      </c>
      <c r="B22" s="18">
        <f>B20+B21</f>
        <v>75760043652.52597</v>
      </c>
    </row>
    <row r="23" spans="1:2" x14ac:dyDescent="0.25">
      <c r="A23" s="19" t="s">
        <v>65</v>
      </c>
      <c r="B23" s="25">
        <f>B22/Assumptions!B31</f>
        <v>97.59685110244182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72.59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203.1072575818887</v>
      </c>
    </row>
    <row r="29" spans="1:2" x14ac:dyDescent="0.25">
      <c r="A29" s="19" t="s">
        <v>73</v>
      </c>
      <c r="B29" s="12">
        <f>B28/B26-1</f>
        <v>1.798006028129063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0.031048</v>
      </c>
      <c r="B5" s="31">
        <v>356.17104118407644</v>
      </c>
      <c r="C5" s="31">
        <v>357.9172303020939</v>
      </c>
      <c r="D5" s="31">
        <v>359.66341942011115</v>
      </c>
      <c r="E5" s="31">
        <v>1067.3845381709893</v>
      </c>
      <c r="F5" s="31" t="s">
        <v>76</v>
      </c>
    </row>
    <row r="6" spans="1:6" x14ac:dyDescent="0.25">
      <c r="A6" s="30">
        <v>0.041048</v>
      </c>
      <c r="B6" s="31">
        <v>259.2978778291256</v>
      </c>
      <c r="C6" s="31">
        <v>260.5625253310581</v>
      </c>
      <c r="D6" s="31">
        <v>261.8271728329907</v>
      </c>
      <c r="E6" s="31">
        <v>263.0918203349232</v>
      </c>
      <c r="F6" s="31">
        <v>264.35646783685587</v>
      </c>
    </row>
    <row r="7" spans="1:6" x14ac:dyDescent="0.25">
      <c r="A7" s="30">
        <v>0.051048</v>
      </c>
      <c r="B7" s="31">
        <v>201.15825086278184</v>
      </c>
      <c r="C7" s="31">
        <v>202.13234219430478</v>
      </c>
      <c r="D7" s="32">
        <v>203.10643352582773</v>
      </c>
      <c r="E7" s="31">
        <v>204.08052485735064</v>
      </c>
      <c r="F7" s="31">
        <v>205.05461618887358</v>
      </c>
    </row>
    <row r="8" spans="1:6" x14ac:dyDescent="0.25">
      <c r="A8" s="30">
        <v>0.061048</v>
      </c>
      <c r="B8" s="31">
        <v>162.67808999493562</v>
      </c>
      <c r="C8" s="31">
        <v>163.4586401339324</v>
      </c>
      <c r="D8" s="31">
        <v>164.23919027292916</v>
      </c>
      <c r="E8" s="31">
        <v>165.01974041192602</v>
      </c>
      <c r="F8" s="31">
        <v>165.8002905509227</v>
      </c>
    </row>
    <row r="9" spans="1:6" x14ac:dyDescent="0.25">
      <c r="A9" s="30">
        <v>0.071048</v>
      </c>
      <c r="B9" s="31">
        <v>135.52439350807197</v>
      </c>
      <c r="C9" s="31">
        <v>136.1673592343776</v>
      </c>
      <c r="D9" s="31">
        <v>136.8103249606832</v>
      </c>
      <c r="E9" s="31">
        <v>137.4532906869888</v>
      </c>
      <c r="F9" s="31">
        <v>138.09625641329438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52597000000</v>
      </c>
      <c r="C5" s="18">
        <v>52509000000</v>
      </c>
      <c r="D5" s="18">
        <v>44359000000</v>
      </c>
      <c r="E5" s="18">
        <v>36096000000</v>
      </c>
      <c r="F5" s="8" t="s">
        <v>85</v>
      </c>
    </row>
    <row r="6" spans="1:6" x14ac:dyDescent="0.25">
      <c r="A6" t="s">
        <v>44</v>
      </c>
      <c r="B6" s="18">
        <v>8803000000</v>
      </c>
      <c r="C6" s="18">
        <v>6730000000</v>
      </c>
      <c r="D6" s="18">
        <v>5128000000</v>
      </c>
      <c r="E6" s="18">
        <v>4239000000</v>
      </c>
      <c r="F6" s="8" t="s">
        <v>86</v>
      </c>
    </row>
    <row r="7" spans="1:6" x14ac:dyDescent="0.25">
      <c r="A7" t="s">
        <v>87</v>
      </c>
      <c r="B7" s="18">
        <v>10287000000</v>
      </c>
      <c r="C7" s="18">
        <v>10086000000</v>
      </c>
      <c r="D7" s="18">
        <v>7710000000</v>
      </c>
      <c r="E7" s="18">
        <v>5342000000</v>
      </c>
      <c r="F7" s="8" t="s">
        <v>88</v>
      </c>
    </row>
    <row r="8" spans="1:6" x14ac:dyDescent="0.25">
      <c r="A8" t="s">
        <v>89</v>
      </c>
      <c r="B8" s="18">
        <v>9361000000</v>
      </c>
      <c r="C8" s="18">
        <v>11433000000</v>
      </c>
      <c r="D8" s="18">
        <v>11867000000</v>
      </c>
      <c r="E8" s="18">
        <v>9579000000</v>
      </c>
      <c r="F8" s="8" t="s">
        <v>90</v>
      </c>
    </row>
    <row r="9" spans="1:6" x14ac:dyDescent="0.25">
      <c r="A9" t="s">
        <v>91</v>
      </c>
      <c r="B9" s="18">
        <v>39951000000</v>
      </c>
      <c r="C9" s="18">
        <v>26504000000</v>
      </c>
      <c r="D9" s="18">
        <v>-21778000000</v>
      </c>
      <c r="E9" s="18">
        <v>-25607000000</v>
      </c>
      <c r="F9" s="8" t="s">
        <v>92</v>
      </c>
    </row>
    <row r="10" spans="1:6" x14ac:dyDescent="0.25">
      <c r="A10" t="s">
        <v>93</v>
      </c>
      <c r="B10" s="18">
        <v>167072000000</v>
      </c>
      <c r="C10" s="18">
        <v>183093000000</v>
      </c>
      <c r="D10" s="18">
        <v>181131000000</v>
      </c>
      <c r="E10" s="18">
        <v>154799000000</v>
      </c>
      <c r="F10" s="8" t="s">
        <v>94</v>
      </c>
    </row>
    <row r="11" spans="1:6" x14ac:dyDescent="0.25">
      <c r="A11" t="s">
        <v>95</v>
      </c>
      <c r="B11" s="18">
        <v>195136000000</v>
      </c>
      <c r="C11" s="18">
        <v>273125000000</v>
      </c>
      <c r="D11" s="18">
        <v>287598000000</v>
      </c>
      <c r="E11" s="18">
        <v>289834000000</v>
      </c>
      <c r="F11" s="8" t="s">
        <v>96</v>
      </c>
    </row>
    <row r="12" spans="1:6" x14ac:dyDescent="0.25">
      <c r="A12" t="s">
        <v>32</v>
      </c>
      <c r="B12" s="34">
        <v>776255000</v>
      </c>
      <c r="C12" s="34">
        <v>795168649</v>
      </c>
      <c r="D12" s="34">
        <v>799315070</v>
      </c>
      <c r="E12" s="34">
        <v>822437425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0" ht="38" customHeight="1" spans="1:6" x14ac:dyDescent="0.25">
      <c r="A20" s="35" t="s">
        <v>103</v>
      </c>
      <c r="B20" s="35"/>
      <c r="C20" s="35"/>
      <c r="D20" s="35"/>
      <c r="E20" s="35"/>
      <c r="F20" s="35"/>
    </row>
    <row r="22" spans="1:1" x14ac:dyDescent="0.25">
      <c r="A22" s="36" t="s">
        <v>104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2026-09-19T01:05:14Z</dcterms:modified>
</cp:coreProperties>
</file>