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<sst xmlns="http://schemas.openxmlformats.org/spreadsheetml/2006/main" count="113" uniqueCount="101">
  <si>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Glencore plc (GLEN.L)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</si>
  <si>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</si>
  <si>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</si>
  <si>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</si>
  <si>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</si>
  <si>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</si>
  <si>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</si>
  <si>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</si>
  <si>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</si>
  <si>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</si>
  <si>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</si>
  <si>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</si>
  <si>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</si>
  <si>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</si>
  <si>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</si>
  <si>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</si>
  <si>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</si>
  <si>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</si>
  <si>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</si>
  <si>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</si>
  <si>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</si>
  <si>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</si>
  <si>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</si>
  <si>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</si>
  <si>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</si>
  <si>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</si>
  <si>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</si>
  <si>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</si>
  <si>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</si>
  <si>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</si>
  <si>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</si>
  <si>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</si>
  <si>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</si>
  <si>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</si>
  <si>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</si>
  <si>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</si>
  <si>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</si>
  <si>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</si>
  <si>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</si>
  <si>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</si>
  <si>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</si>
  <si>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</si>
  <si>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</si>
  <si>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</si>
  <si>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</si>
  <si>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</si>
  <si>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</si>
  <si>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</si>
  <si>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</si>
  <si>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</si>
  <si>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</si>
  <si>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</si>
  <si>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</si>
  <si>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</si>
  <si>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</si>
  <si>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</si>
  <si>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</si>
  <si>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</si>
  <si>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</si>
  <si>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</si>
  <si>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</si>
  <si>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</si>
  <si>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</si>
  <si>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</si>
  <si>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</si>
  <si>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</si>
  <si>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</si>
  <si>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</si>
  <si>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</si>
  <si>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</si>
  <si>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USD to GBp</t>
  </si>
  <si>
    <t>USD/GBP at 0.7466, then x100, because GBp is a sub-unit of GBP</t>
  </si>
  <si>
    <t>Value per share (GBp)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</si>
  <si>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</si>
  <si>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</si>
  <si>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</si>
  <si>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</si>
  <si>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</si>
  <si>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</si>
  <si>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</si>
  <si>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</si>
  <si>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</si>
  <si>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</si>
  <si>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</si>
  <si>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</si>
  <si>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</si>
  <si>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</si>
  <si>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</si>
  <si>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</si>
  <si>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</si>
  <si>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</si>
  <si>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</si>
  <si>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</si>
  <si>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</si>
  <si>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</si>
  <si>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</si>
  <si>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</si>
  <si>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</si>
  <si>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GBp. Modelled in USD, converted at the end.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</si>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</sst>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-0.011125303074485227</v>
      </c>
    </row>
    <row r="7" spans="1:2" x14ac:dyDescent="0.25">
      <c r="A7" t="s">
        <v>5</v>
      </c>
      <c r="B7" s="6">
        <v>0.042409940869485345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0.027669859010827483</v>
      </c>
    </row>
    <row r="10" spans="1:2" x14ac:dyDescent="0.25">
      <c r="A10" t="s">
        <v>8</v>
      </c>
      <c r="B10" s="6">
        <v>0.021290650358491425</v>
      </c>
    </row>
    <row r="11" spans="1:2" x14ac:dyDescent="0.25">
      <c r="A11" t="s">
        <v>9</v>
      </c>
      <c r="B11" s="6">
        <v>0.060454463263215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10.27890921381221</v>
      </c>
    </row>
    <row r="14" spans="1:3" x14ac:dyDescent="0.25">
      <c r="A14" t="s">
        <v>12</v>
      </c>
      <c r="B14" s="6">
        <v>0.07414653327774397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0.67974</v>
      </c>
      <c r="C19" s="8" t="s">
        <v>19</v>
      </c>
    </row>
    <row r="20" spans="1:2" x14ac:dyDescent="0.25">
      <c r="A20" t="s">
        <v>20</v>
      </c>
      <c r="B20" s="10">
        <f>B17+B19*B18</f>
        <v>0.0823857</v>
      </c>
    </row>
    <row r="21" spans="1:3" x14ac:dyDescent="0.25">
      <c r="A21" t="s">
        <v>21</v>
      </c>
      <c r="B21" s="6">
        <v>0.08156496174286683</v>
      </c>
      <c r="C21" s="8" t="s">
        <v>22</v>
      </c>
    </row>
    <row r="22" spans="1:2" x14ac:dyDescent="0.25">
      <c r="A22" t="s">
        <v>23</v>
      </c>
      <c r="B22" s="11">
        <v>65320935424</v>
      </c>
    </row>
    <row r="23" spans="1:2" x14ac:dyDescent="0.25">
      <c r="A23" t="s">
        <v>24</v>
      </c>
      <c r="B23" s="11">
        <v>41486000000</v>
      </c>
    </row>
    <row r="24" spans="1:2" x14ac:dyDescent="0.25">
      <c r="A24" t="s">
        <v>25</v>
      </c>
      <c r="B24" s="10">
        <f>B22/(B22+B23)</f>
        <v>0.6115795305303937</v>
      </c>
    </row>
    <row r="25" spans="1:2" x14ac:dyDescent="0.25">
      <c r="A25" t="s">
        <v>26</v>
      </c>
      <c r="B25" s="10">
        <f>1-B24</f>
        <v>0.3884204694696063</v>
      </c>
    </row>
    <row r="26" spans="1:2" x14ac:dyDescent="0.25">
      <c r="A26" t="s">
        <v>27</v>
      </c>
      <c r="B26" s="12">
        <f>B24*B20+B25*B21*(1-B8)</f>
        <v>0.07414653327774397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247535000000</v>
      </c>
      <c r="C29" s="8" t="s">
        <v>30</v>
      </c>
    </row>
    <row r="30" spans="1:2" x14ac:dyDescent="0.25">
      <c r="A30" t="s">
        <v>31</v>
      </c>
      <c r="B30" s="11">
        <v>38568000000</v>
      </c>
    </row>
    <row r="31" spans="1:2" x14ac:dyDescent="0.25">
      <c r="A31" t="s">
        <v>32</v>
      </c>
      <c r="B31" s="13">
        <v>12061048000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-0.011125303074485227</v>
      </c>
      <c r="C5" s="10">
        <f>Assumptions!B6</f>
        <v>-0.011125303074485227</v>
      </c>
      <c r="D5" s="10">
        <f>Assumptions!B6</f>
        <v>-0.011125303074485227</v>
      </c>
      <c r="E5" s="10">
        <f>Assumptions!B6</f>
        <v>-0.011125303074485227</v>
      </c>
      <c r="F5" s="10">
        <f>Assumptions!B6</f>
        <v>-0.011125303074485227</v>
      </c>
    </row>
    <row r="6" spans="1:6" x14ac:dyDescent="0.25">
      <c r="A6" t="s">
        <v>43</v>
      </c>
      <c r="B6" s="18">
        <f>Assumptions!B29*(1+B5)</f>
        <v>244781098103.4573</v>
      </c>
      <c r="C6" s="18">
        <f>B6*(1+C5)</f>
        <v>242057834200.15103</v>
      </c>
      <c r="D6" s="18">
        <f>C6*(1+D5)</f>
        <v>239364867433.12085</v>
      </c>
      <c r="E6" s="18">
        <f>D6*(1+E5)</f>
        <v>236701860737.5434</v>
      </c>
      <c r="F6" s="18">
        <f>E6*(1+F5)</f>
        <v>234068480798.54364</v>
      </c>
    </row>
    <row r="7" spans="1:6" x14ac:dyDescent="0.25">
      <c r="A7" t="s">
        <v>5</v>
      </c>
      <c r="B7" s="10">
        <f>Assumptions!B7</f>
        <v>0.042409940869485345</v>
      </c>
      <c r="C7" s="10">
        <f>Assumptions!B7</f>
        <v>0.042409940869485345</v>
      </c>
      <c r="D7" s="10">
        <f>Assumptions!B7</f>
        <v>0.042409940869485345</v>
      </c>
      <c r="E7" s="10">
        <f>Assumptions!B7</f>
        <v>0.042409940869485345</v>
      </c>
      <c r="F7" s="10">
        <f>Assumptions!B7</f>
        <v>0.042409940869485345</v>
      </c>
    </row>
    <row r="8" spans="1:6" x14ac:dyDescent="0.25">
      <c r="A8" t="s">
        <v>44</v>
      </c>
      <c r="B8" s="18">
        <f>B6*B7</f>
        <v>10381151896.535316</v>
      </c>
      <c r="C8" s="18">
        <f>C6*C7</f>
        <v>10265658435.424093</v>
      </c>
      <c r="D8" s="18">
        <f>D6*D7</f>
        <v>10151449874.070854</v>
      </c>
      <c r="E8" s="18">
        <f>E6*E7</f>
        <v>10038511917.57637</v>
      </c>
      <c r="F8" s="18">
        <f>F6*F7</f>
        <v>9926830430.076502</v>
      </c>
    </row>
    <row r="9" spans="1:6" x14ac:dyDescent="0.25">
      <c r="A9" t="s">
        <v>45</v>
      </c>
      <c r="B9" s="18">
        <f>B8*(1-Assumptions!B8)</f>
        <v>7785863922.401487</v>
      </c>
      <c r="C9" s="18">
        <f>C8*(1-Assumptions!B8)</f>
        <v>7699243826.568069</v>
      </c>
      <c r="D9" s="18">
        <f>D8*(1-Assumptions!B8)</f>
        <v>7613587405.553141</v>
      </c>
      <c r="E9" s="18">
        <f>E8*(1-Assumptions!B8)</f>
        <v>7528883938.182278</v>
      </c>
      <c r="F9" s="18">
        <f>F8*(1-Assumptions!B8)</f>
        <v>7445122822.557377</v>
      </c>
    </row>
    <row r="10" spans="1:6" x14ac:dyDescent="0.25">
      <c r="A10" t="s">
        <v>46</v>
      </c>
      <c r="B10" s="18">
        <f>B6*Assumptions!B9</f>
        <v>6773058473.038195</v>
      </c>
      <c r="C10" s="18">
        <f>C6*Assumptions!B9</f>
        <v>6697706144.784434</v>
      </c>
      <c r="D10" s="18">
        <f>D6*Assumptions!B9</f>
        <v>6623192134.019865</v>
      </c>
      <c r="E10" s="18">
        <f>E6*Assumptions!B9</f>
        <v>6549507114.208347</v>
      </c>
      <c r="F10" s="18">
        <f>F6*Assumptions!B9</f>
        <v>6476641862.574283</v>
      </c>
    </row>
    <row r="11" spans="1:6" x14ac:dyDescent="0.25">
      <c r="A11" t="s">
        <v>47</v>
      </c>
      <c r="B11" s="18">
        <f>-B6*Assumptions!B10</f>
        <v>-5211548774.088298</v>
      </c>
      <c r="C11" s="18">
        <f>-C6*Assumptions!B10</f>
        <v>-5153568714.489103</v>
      </c>
      <c r="D11" s="18">
        <f>-D6*Assumptions!B10</f>
        <v>-5096233700.625227</v>
      </c>
      <c r="E11" s="18">
        <f>-E6*Assumptions!B10</f>
        <v>-5039536556.167366</v>
      </c>
      <c r="F11" s="18">
        <f>-F6*Assumptions!B10</f>
        <v>-4983470184.625056</v>
      </c>
    </row>
    <row r="12" spans="1:6" x14ac:dyDescent="0.25">
      <c r="A12" t="s">
        <v>48</v>
      </c>
      <c r="B12" s="18">
        <f>-(B6-Assumptions!B29)*Assumptions!B11</f>
        <v>166485661.0350384</v>
      </c>
      <c r="C12" s="18">
        <f>-(C6-B6)*Assumptions!B11</f>
        <v>164633457.59846866</v>
      </c>
      <c r="D12" s="18">
        <f>-(D6-C6)*Assumptions!B11</f>
        <v>162801860.486485</v>
      </c>
      <c r="E12" s="18">
        <f>-(E6-D6)*Assumptions!B11</f>
        <v>160990640.44748273</v>
      </c>
      <c r="F12" s="18">
        <f>-(F6-E6)*Assumptions!B11</f>
        <v>159199570.7803481</v>
      </c>
    </row>
    <row r="13" spans="1:6" x14ac:dyDescent="0.25">
      <c r="A13" s="19" t="s">
        <v>49</v>
      </c>
      <c r="B13" s="20">
        <f>B9+B10+B11+B12</f>
        <v>9513859282.386421</v>
      </c>
      <c r="C13" s="20">
        <f>C9+C10+C11+C12</f>
        <v>9408014714.46187</v>
      </c>
      <c r="D13" s="20">
        <f>D9+D10+D11+D12</f>
        <v>9303347699.434263</v>
      </c>
      <c r="E13" s="20">
        <f>E9+E10+E11+E12</f>
        <v>9199845136.670742</v>
      </c>
      <c r="F13" s="20">
        <f>F9+F10+F11+F12</f>
        <v>9097494071.286951</v>
      </c>
    </row>
    <row r="14" spans="1:6" x14ac:dyDescent="0.25">
      <c r="A14" t="s">
        <v>50</v>
      </c>
      <c r="B14" s="21">
        <f>1/(1+Assumptions!$B$26)^(1-0.5*Assumptions!$B$32)</f>
        <v>0.964868735907268</v>
      </c>
      <c r="C14" s="21">
        <f>1/(1+Assumptions!$B$26)^(2-0.5*Assumptions!$B$32)</f>
        <v>0.8982654656650835</v>
      </c>
      <c r="D14" s="21">
        <f>1/(1+Assumptions!$B$26)^(3-0.5*Assumptions!$B$32)</f>
        <v>0.8362597074386474</v>
      </c>
      <c r="E14" s="21">
        <f>1/(1+Assumptions!$B$26)^(4-0.5*Assumptions!$B$32)</f>
        <v>0.7785341026859827</v>
      </c>
      <c r="F14" s="21">
        <f>1/(1+Assumptions!$B$26)^(5-0.5*Assumptions!$B$32)</f>
        <v>0.7247931995928861</v>
      </c>
    </row>
    <row r="15" spans="1:6" x14ac:dyDescent="0.25">
      <c r="A15" s="19" t="s">
        <v>51</v>
      </c>
      <c r="B15" s="20">
        <f>B13*B14</f>
        <v>9179625379.395813</v>
      </c>
      <c r="C15" s="20">
        <f>C13*C14</f>
        <v>8450894718.470049</v>
      </c>
      <c r="D15" s="20">
        <f>D13*D14</f>
        <v>7780014825.328911</v>
      </c>
      <c r="E15" s="20">
        <f>E13*E14</f>
        <v>7162393178.327958</v>
      </c>
      <c r="F15" s="20">
        <f>F13*F14</f>
        <v>6593801836.205381</v>
      </c>
    </row>
    <row r="17" spans="1:2" x14ac:dyDescent="0.25">
      <c r="A17" s="22" t="s">
        <v>52</v>
      </c>
      <c r="B17" s="23">
        <f>SUM(B15:F15)</f>
        <v>39166729937.72811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9097494071.286951</v>
      </c>
    </row>
    <row r="5" spans="1:2" x14ac:dyDescent="0.25">
      <c r="A5" t="s">
        <v>56</v>
      </c>
      <c r="B5" s="18">
        <f>IF(Assumptions!$B$33=0,B4,B4-Forecast!F11-Forecast!F10-Forecast!F12)</f>
        <v>7554860804.402676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0.3371701803825813</v>
      </c>
    </row>
    <row r="7" spans="1:2" x14ac:dyDescent="0.25">
      <c r="A7" t="s">
        <v>58</v>
      </c>
      <c r="B7" s="18">
        <f>-MAX(Forecast!F9,0)*B6</f>
        <v>-2547273780.1857433</v>
      </c>
    </row>
    <row r="8" spans="1:2" x14ac:dyDescent="0.25">
      <c r="A8" t="s">
        <v>59</v>
      </c>
      <c r="B8" s="18">
        <f>IF(OR(Assumptions!$B$33=0,Assumptions!B12&lt;=0),B5,MAX(B5+B7,0))</f>
        <v>5007587024.216932</v>
      </c>
    </row>
    <row r="9" spans="1:2" x14ac:dyDescent="0.25">
      <c r="A9" t="s">
        <v>60</v>
      </c>
      <c r="B9" s="18">
        <f>B8*(1+Assumptions!B12)/(Assumptions!B26-Assumptions!B12)</f>
        <v>104438224987.61548</v>
      </c>
    </row>
    <row r="10" spans="1:2" x14ac:dyDescent="0.25">
      <c r="A10" t="s">
        <v>61</v>
      </c>
      <c r="B10" s="18">
        <f>B9/(1+Assumptions!B26)^(5-0.5*Assumptions!B32)</f>
        <v>75696115248.57553</v>
      </c>
    </row>
    <row r="11" spans="1:2" x14ac:dyDescent="0.25">
      <c r="A11" t="s">
        <v>62</v>
      </c>
      <c r="B11" s="18">
        <f>Forecast!B17+B10</f>
        <v>114862845186.30365</v>
      </c>
    </row>
    <row r="12" spans="1:2" x14ac:dyDescent="0.25">
      <c r="A12" t="s">
        <v>63</v>
      </c>
      <c r="B12" s="18">
        <f>-Assumptions!B30</f>
        <v>-38568000000</v>
      </c>
    </row>
    <row r="13" spans="1:2" x14ac:dyDescent="0.25">
      <c r="A13" t="s">
        <v>64</v>
      </c>
      <c r="B13" s="18">
        <f>B11+B12</f>
        <v>76294845186.30365</v>
      </c>
    </row>
    <row r="14" spans="1:2" x14ac:dyDescent="0.25">
      <c r="A14" s="19" t="s">
        <v>65</v>
      </c>
      <c r="B14" s="24">
        <f>B13/Assumptions!B31</f>
        <v>6.325722705547946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16403472292.650784</v>
      </c>
    </row>
    <row r="18" spans="1:2" x14ac:dyDescent="0.25">
      <c r="A18" t="s">
        <v>60</v>
      </c>
      <c r="B18" s="18">
        <f>B17*Assumptions!B13</f>
        <v>168609802487.44144</v>
      </c>
    </row>
    <row r="19" spans="1:2" x14ac:dyDescent="0.25">
      <c r="A19" t="s">
        <v>61</v>
      </c>
      <c r="B19" s="18">
        <f>B18/(1+Assumptions!B26)^(5-0.5*Assumptions!B32)</f>
        <v>122207238227.59724</v>
      </c>
    </row>
    <row r="20" spans="1:2" x14ac:dyDescent="0.25">
      <c r="A20" t="s">
        <v>62</v>
      </c>
      <c r="B20" s="18">
        <f>Forecast!B17+B19</f>
        <v>161373968165.32535</v>
      </c>
    </row>
    <row r="21" spans="1:2" x14ac:dyDescent="0.25">
      <c r="A21" t="s">
        <v>63</v>
      </c>
      <c r="B21" s="18">
        <f>-Assumptions!B30</f>
        <v>-38568000000</v>
      </c>
    </row>
    <row r="22" spans="1:2" x14ac:dyDescent="0.25">
      <c r="A22" t="s">
        <v>64</v>
      </c>
      <c r="B22" s="18">
        <f>B20+B21</f>
        <v>122805968165.32535</v>
      </c>
    </row>
    <row r="23" spans="1:2" x14ac:dyDescent="0.25">
      <c r="A23" s="19" t="s">
        <v>65</v>
      </c>
      <c r="B23" s="25">
        <f>B22/Assumptions!B31</f>
        <v>10.182031293244613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556.8</v>
      </c>
    </row>
    <row r="27" spans="1:3" x14ac:dyDescent="0.25">
      <c r="A27" t="s">
        <v>70</v>
      </c>
      <c r="B27" s="27">
        <v>74.663</v>
      </c>
      <c r="C27" s="8" t="s">
        <v>71</v>
      </c>
    </row>
    <row r="28" spans="1:2" x14ac:dyDescent="0.25">
      <c r="A28" t="s">
        <v>72</v>
      </c>
      <c r="B28" s="28">
        <f>B14*B27</f>
        <v>472.2974343643263</v>
      </c>
    </row>
    <row r="29" spans="1:2" x14ac:dyDescent="0.25">
      <c r="A29" s="19" t="s">
        <v>73</v>
      </c>
      <c r="B29" s="12">
        <f>B28/B26-1</f>
        <v>-0.15176466529395416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0.054147</v>
      </c>
      <c r="B5" s="31">
        <v>10.075000593794776</v>
      </c>
      <c r="C5" s="31">
        <v>10.451425868461397</v>
      </c>
      <c r="D5" s="31">
        <v>10.944067382339744</v>
      </c>
      <c r="E5" s="31">
        <v>11.62511810301072</v>
      </c>
      <c r="F5" s="31">
        <v>12.642180166677871</v>
      </c>
    </row>
    <row r="6" spans="1:6" x14ac:dyDescent="0.25">
      <c r="A6" s="30">
        <v>0.064147</v>
      </c>
      <c r="B6" s="31">
        <v>7.662816056375056</v>
      </c>
      <c r="C6" s="31">
        <v>7.723686062244489</v>
      </c>
      <c r="D6" s="31">
        <v>7.790877881102621</v>
      </c>
      <c r="E6" s="31">
        <v>7.867168541526798</v>
      </c>
      <c r="F6" s="31">
        <v>7.9572406051353965</v>
      </c>
    </row>
    <row r="7" spans="1:6" x14ac:dyDescent="0.25">
      <c r="A7" s="30">
        <v>0.074147</v>
      </c>
      <c r="B7" s="31">
        <v>6.264438080034528</v>
      </c>
      <c r="C7" s="31">
        <v>6.2950528571615445</v>
      </c>
      <c r="D7" s="32">
        <v>6.32566763428856</v>
      </c>
      <c r="E7" s="31">
        <v>6.356282411415575</v>
      </c>
      <c r="F7" s="31">
        <v>6.386897188542588</v>
      </c>
    </row>
    <row r="8" spans="1:6" x14ac:dyDescent="0.25">
      <c r="A8" s="30">
        <v>0.084147</v>
      </c>
      <c r="B8" s="31">
        <v>5.232968697856983</v>
      </c>
      <c r="C8" s="31">
        <v>5.258843438934563</v>
      </c>
      <c r="D8" s="31">
        <v>5.2847181800121446</v>
      </c>
      <c r="E8" s="31">
        <v>5.310592921089728</v>
      </c>
      <c r="F8" s="31">
        <v>5.336467662167306</v>
      </c>
    </row>
    <row r="9" spans="1:6" x14ac:dyDescent="0.25">
      <c r="A9" s="30">
        <v>0.094147</v>
      </c>
      <c r="B9" s="31">
        <v>4.4184111200170815</v>
      </c>
      <c r="C9" s="31">
        <v>4.440601483040541</v>
      </c>
      <c r="D9" s="31">
        <v>4.462791846064</v>
      </c>
      <c r="E9" s="31">
        <v>4.48498220908746</v>
      </c>
      <c r="F9" s="31">
        <v>4.507172572110918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247535000000</v>
      </c>
      <c r="C5" s="18">
        <v>230944000000</v>
      </c>
      <c r="D5" s="18">
        <v>217829000000</v>
      </c>
      <c r="E5" s="18">
        <v>255984000000</v>
      </c>
      <c r="F5" s="8" t="s">
        <v>84</v>
      </c>
    </row>
    <row r="6" spans="1:6" x14ac:dyDescent="0.25">
      <c r="A6" t="s">
        <v>44</v>
      </c>
      <c r="B6" s="18">
        <v>3335000000</v>
      </c>
      <c r="C6" s="18">
        <v>4441000000</v>
      </c>
      <c r="D6" s="18">
        <v>8699000000</v>
      </c>
      <c r="E6" s="18">
        <v>24831000000</v>
      </c>
      <c r="F6" s="8" t="s">
        <v>85</v>
      </c>
    </row>
    <row r="7" spans="1:6" x14ac:dyDescent="0.25">
      <c r="A7" t="s">
        <v>86</v>
      </c>
      <c r="B7" s="18">
        <v>6772000000</v>
      </c>
      <c r="C7" s="18">
        <v>6598000000</v>
      </c>
      <c r="D7" s="18">
        <v>5981000000</v>
      </c>
      <c r="E7" s="18">
        <v>6987000000</v>
      </c>
      <c r="F7" s="8" t="s">
        <v>87</v>
      </c>
    </row>
    <row r="8" spans="1:6" x14ac:dyDescent="0.25">
      <c r="A8" t="s">
        <v>88</v>
      </c>
      <c r="B8" s="18">
        <v>5932000000</v>
      </c>
      <c r="C8" s="18">
        <v>5611000000</v>
      </c>
      <c r="D8" s="18">
        <v>4484000000</v>
      </c>
      <c r="E8" s="18">
        <v>4177000000</v>
      </c>
      <c r="F8" s="8" t="s">
        <v>89</v>
      </c>
    </row>
    <row r="9" spans="1:6" x14ac:dyDescent="0.25">
      <c r="A9" t="s">
        <v>90</v>
      </c>
      <c r="B9" s="18">
        <v>1003000000</v>
      </c>
      <c r="C9" s="18">
        <v>-2061000000</v>
      </c>
      <c r="D9" s="18">
        <v>-3752000000</v>
      </c>
      <c r="E9" s="18">
        <v>13269000000</v>
      </c>
      <c r="F9" s="8" t="s">
        <v>91</v>
      </c>
    </row>
    <row r="10" spans="1:6" x14ac:dyDescent="0.25">
      <c r="A10" t="s">
        <v>92</v>
      </c>
      <c r="B10" s="18">
        <v>41486000000</v>
      </c>
      <c r="C10" s="18">
        <v>38107000000</v>
      </c>
      <c r="D10" s="18">
        <v>32241000000</v>
      </c>
      <c r="E10" s="18">
        <v>28777000000</v>
      </c>
      <c r="F10" s="8" t="s">
        <v>93</v>
      </c>
    </row>
    <row r="11" spans="1:6" x14ac:dyDescent="0.25">
      <c r="A11" t="s">
        <v>94</v>
      </c>
      <c r="B11" s="18">
        <v>2918000000</v>
      </c>
      <c r="C11" s="18">
        <v>2167000000</v>
      </c>
      <c r="D11" s="18">
        <v>1813000000</v>
      </c>
      <c r="E11" s="18">
        <v>1923000000</v>
      </c>
      <c r="F11" s="8" t="s">
        <v>95</v>
      </c>
    </row>
    <row r="12" spans="1:6" x14ac:dyDescent="0.25">
      <c r="A12" t="s">
        <v>32</v>
      </c>
      <c r="B12" s="34">
        <v>12061048000</v>
      </c>
      <c r="C12" s="34">
        <v>12272062000</v>
      </c>
      <c r="D12" s="34">
        <v>12537936000</v>
      </c>
      <c r="E12" s="34">
        <v>13140758000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2026-09-19T00:07:04Z</dcterms:modified>
</cp:coreProperties>
</file>