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<sst xmlns="http://schemas.openxmlformats.org/spreadsheetml/2006/main" count="113" uniqueCount="101">
  <si>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Corning Incorporated (GLW)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</si>
  <si>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</si>
  <si>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</si>
  <si>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</si>
  <si>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</si>
  <si>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</si>
  <si>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</si>
  <si>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</si>
  <si>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</si>
  <si>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</si>
  <si>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</si>
  <si>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</si>
  <si>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</si>
  <si>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</si>
  <si>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</si>
  <si>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</si>
  <si>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</si>
  <si>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</si>
  <si>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</si>
  <si>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</si>
  <si>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</si>
  <si>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</si>
  <si>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</si>
  <si>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</si>
  <si>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</si>
  <si>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</si>
  <si>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</si>
  <si>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</si>
  <si>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</si>
  <si>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</si>
  <si>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</si>
  <si>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</si>
  <si>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</si>
  <si>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</si>
  <si>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</si>
  <si>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</si>
  <si>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</si>
  <si>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</si>
  <si>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</si>
  <si>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</si>
  <si>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</si>
  <si>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</si>
  <si>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</si>
  <si>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</si>
  <si>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</si>
  <si>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</si>
  <si>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</si>
  <si>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</si>
  <si>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</si>
  <si>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</si>
  <si>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</si>
  <si>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</si>
  <si>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</si>
  <si>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</si>
  <si>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</si>
  <si>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</si>
  <si>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</si>
  <si>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</si>
  <si>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</si>
  <si>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</si>
  <si>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</si>
  <si>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</si>
  <si>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</si>
  <si>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</si>
  <si>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</si>
  <si>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</si>
  <si>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</si>
  <si>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</si>
  <si>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</si>
  <si>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</si>
  <si>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</si>
  <si>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</si>
  <si>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</si>
  <si>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</si>
  <si>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</si>
  <si>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</si>
  <si>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</si>
  <si>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</si>
  <si>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</si>
  <si>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</si>
  <si>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</si>
  <si>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</si>
  <si>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</si>
  <si>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</si>
  <si>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</si>
  <si>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</si>
  <si>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</si>
  <si>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</si>
  <si>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</si>
  <si>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</si>
  <si>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</si>
  <si>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</si>
  <si>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</si>
  <si>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</si>
  <si>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</si>
  <si>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</si>
  <si>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</si>
  <si>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</si>
  <si>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5.6%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</si>
  <si>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37.8x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</si>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</sst>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0.03274507876886834</v>
      </c>
    </row>
    <row r="7" spans="1:2" x14ac:dyDescent="0.25">
      <c r="A7" t="s">
        <v>5</v>
      </c>
      <c r="B7" s="6">
        <v>0.10109734386137226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0.10004628198056295</v>
      </c>
    </row>
    <row r="10" spans="1:2" x14ac:dyDescent="0.25">
      <c r="A10" t="s">
        <v>8</v>
      </c>
      <c r="B10" s="6">
        <v>0.09476449643780005</v>
      </c>
    </row>
    <row r="11" spans="1:2" x14ac:dyDescent="0.25">
      <c r="A11" t="s">
        <v>9</v>
      </c>
      <c r="B11" s="6">
        <v>0.18319394663480684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0.10574013737936981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1.10117</v>
      </c>
      <c r="C19" s="8" t="s">
        <v>19</v>
      </c>
    </row>
    <row r="20" spans="1:2" x14ac:dyDescent="0.25">
      <c r="A20" t="s">
        <v>20</v>
      </c>
      <c r="B20" s="10">
        <f>B17+B19*B18</f>
        <v>0.11054435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129320239104</v>
      </c>
    </row>
    <row r="23" spans="1:2" x14ac:dyDescent="0.25">
      <c r="A23" t="s">
        <v>24</v>
      </c>
      <c r="B23" s="11">
        <v>9377000000</v>
      </c>
    </row>
    <row r="24" spans="1:2" x14ac:dyDescent="0.25">
      <c r="A24" t="s">
        <v>25</v>
      </c>
      <c r="B24" s="10">
        <f>B22/(B22+B23)</f>
        <v>0.9323923096048884</v>
      </c>
    </row>
    <row r="25" spans="1:2" x14ac:dyDescent="0.25">
      <c r="A25" t="s">
        <v>26</v>
      </c>
      <c r="B25" s="10">
        <f>1-B24</f>
        <v>0.06760769039511161</v>
      </c>
    </row>
    <row r="26" spans="1:2" x14ac:dyDescent="0.25">
      <c r="A26" t="s">
        <v>27</v>
      </c>
      <c r="B26" s="12">
        <f>B24*B20+B25*B21*(1-B8)</f>
        <v>0.10574013737936981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15629000000</v>
      </c>
      <c r="C29" s="8" t="s">
        <v>30</v>
      </c>
    </row>
    <row r="30" spans="1:2" x14ac:dyDescent="0.25">
      <c r="A30" t="s">
        <v>31</v>
      </c>
      <c r="B30" s="11">
        <v>7851000000</v>
      </c>
    </row>
    <row r="31" spans="1:2" x14ac:dyDescent="0.25">
      <c r="A31" t="s">
        <v>32</v>
      </c>
      <c r="B31" s="13">
        <v>871000000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0.03274507876886834</v>
      </c>
      <c r="C5" s="10">
        <f>Assumptions!B6</f>
        <v>0.03274507876886834</v>
      </c>
      <c r="D5" s="10">
        <f>Assumptions!B6</f>
        <v>0.03274507876886834</v>
      </c>
      <c r="E5" s="10">
        <f>Assumptions!B6</f>
        <v>0.03274507876886834</v>
      </c>
      <c r="F5" s="10">
        <f>Assumptions!B6</f>
        <v>0.03274507876886834</v>
      </c>
    </row>
    <row r="6" spans="1:6" x14ac:dyDescent="0.25">
      <c r="A6" t="s">
        <v>43</v>
      </c>
      <c r="B6" s="18">
        <f>Assumptions!B29*(1+B5)</f>
        <v>16140772836.078644</v>
      </c>
      <c r="C6" s="18">
        <f>B6*(1+C5)</f>
        <v>16669303713.98645</v>
      </c>
      <c r="D6" s="18">
        <f>C6*(1+D5)</f>
        <v>17215141377.123127</v>
      </c>
      <c r="E6" s="18">
        <f>D6*(1+E5)</f>
        <v>17778852537.53423</v>
      </c>
      <c r="F6" s="18">
        <f>E6*(1+F5)</f>
        <v>18361022464.295883</v>
      </c>
    </row>
    <row r="7" spans="1:6" x14ac:dyDescent="0.25">
      <c r="A7" t="s">
        <v>5</v>
      </c>
      <c r="B7" s="10">
        <f>Assumptions!B7</f>
        <v>0.10109734386137226</v>
      </c>
      <c r="C7" s="10">
        <f>Assumptions!B7</f>
        <v>0.10109734386137226</v>
      </c>
      <c r="D7" s="10">
        <f>Assumptions!B7</f>
        <v>0.10109734386137226</v>
      </c>
      <c r="E7" s="10">
        <f>Assumptions!B7</f>
        <v>0.10109734386137226</v>
      </c>
      <c r="F7" s="10">
        <f>Assumptions!B7</f>
        <v>0.10109734386137226</v>
      </c>
    </row>
    <row r="8" spans="1:6" x14ac:dyDescent="0.25">
      <c r="A8" t="s">
        <v>44</v>
      </c>
      <c r="B8" s="18">
        <f>B6*B7</f>
        <v>1631789261.5973394</v>
      </c>
      <c r="C8" s="18">
        <f>C6*C7</f>
        <v>1685222329.5025377</v>
      </c>
      <c r="D8" s="18">
        <f>D6*D7</f>
        <v>1740405067.4251542</v>
      </c>
      <c r="E8" s="18">
        <f>E6*E7</f>
        <v>1797394768.4477286</v>
      </c>
      <c r="F8" s="18">
        <f>F6*F7</f>
        <v>1856250601.7193015</v>
      </c>
    </row>
    <row r="9" spans="1:6" x14ac:dyDescent="0.25">
      <c r="A9" t="s">
        <v>45</v>
      </c>
      <c r="B9" s="18">
        <f>B8*(1-Assumptions!B8)</f>
        <v>1289113516.6618981</v>
      </c>
      <c r="C9" s="18">
        <f>C8*(1-Assumptions!B8)</f>
        <v>1331325640.307005</v>
      </c>
      <c r="D9" s="18">
        <f>D8*(1-Assumptions!B8)</f>
        <v>1374920003.265872</v>
      </c>
      <c r="E9" s="18">
        <f>E8*(1-Assumptions!B8)</f>
        <v>1419941867.0737057</v>
      </c>
      <c r="F9" s="18">
        <f>F8*(1-Assumptions!B8)</f>
        <v>1466437975.3582482</v>
      </c>
    </row>
    <row r="10" spans="1:6" x14ac:dyDescent="0.25">
      <c r="A10" t="s">
        <v>46</v>
      </c>
      <c r="B10" s="18">
        <f>B6*Assumptions!B9</f>
        <v>1614824310.5425348</v>
      </c>
      <c r="C10" s="18">
        <f>C6*Assumptions!B9</f>
        <v>1667701859.7891338</v>
      </c>
      <c r="D10" s="18">
        <f>D6*Assumptions!B9</f>
        <v>1722310888.5509171</v>
      </c>
      <c r="E10" s="18">
        <f>E6*Assumptions!B9</f>
        <v>1778708094.2609966</v>
      </c>
      <c r="F10" s="18">
        <f>F6*Assumptions!B9</f>
        <v>1836952030.9143968</v>
      </c>
    </row>
    <row r="11" spans="1:6" x14ac:dyDescent="0.25">
      <c r="A11" t="s">
        <v>47</v>
      </c>
      <c r="B11" s="18">
        <f>-B6*Assumptions!B10</f>
        <v>-1529572209.9279144</v>
      </c>
      <c r="C11" s="18">
        <f>-C6*Assumptions!B10</f>
        <v>-1579658172.4246762</v>
      </c>
      <c r="D11" s="18">
        <f>-D6*Assumptions!B10</f>
        <v>-1631384203.7086089</v>
      </c>
      <c r="E11" s="18">
        <f>-E6*Assumptions!B10</f>
        <v>-1684804007.961335</v>
      </c>
      <c r="F11" s="18">
        <f>-F6*Assumptions!B10</f>
        <v>-1739973047.912134</v>
      </c>
    </row>
    <row r="12" spans="1:6" x14ac:dyDescent="0.25">
      <c r="A12" t="s">
        <v>48</v>
      </c>
      <c r="B12" s="18">
        <f>-(B6-Assumptions!B29)*Assumptions!B11</f>
        <v>-93753685.62173483</v>
      </c>
      <c r="C12" s="18">
        <f>-(C6-B6)*Assumptions!B11</f>
        <v>-96823657.44229029</v>
      </c>
      <c r="D12" s="18">
        <f>-(D6-C6)*Assumptions!B11</f>
        <v>-99994155.73192804</v>
      </c>
      <c r="E12" s="18">
        <f>-(E6-D6)*Assumptions!B11</f>
        <v>-103268472.23779652</v>
      </c>
      <c r="F12" s="18">
        <f>-(F6-E6)*Assumptions!B11</f>
        <v>-106650006.49556383</v>
      </c>
    </row>
    <row r="13" spans="1:6" x14ac:dyDescent="0.25">
      <c r="A13" s="19" t="s">
        <v>49</v>
      </c>
      <c r="B13" s="20">
        <f>B9+B10+B11+B12</f>
        <v>1280611931.6547837</v>
      </c>
      <c r="C13" s="20">
        <f>C9+C10+C11+C12</f>
        <v>1322545670.2291725</v>
      </c>
      <c r="D13" s="20">
        <f>D9+D10+D11+D12</f>
        <v>1365852532.3762522</v>
      </c>
      <c r="E13" s="20">
        <f>E9+E10+E11+E12</f>
        <v>1410577481.135571</v>
      </c>
      <c r="F13" s="20">
        <f>F9+F10+F11+F12</f>
        <v>1456766951.8649473</v>
      </c>
    </row>
    <row r="14" spans="1:6" x14ac:dyDescent="0.25">
      <c r="A14" t="s">
        <v>50</v>
      </c>
      <c r="B14" s="21">
        <f>1/(1+Assumptions!$B$26)^(1-0.5*Assumptions!$B$32)</f>
        <v>0.9509845532899884</v>
      </c>
      <c r="C14" s="21">
        <f>1/(1+Assumptions!$B$26)^(2-0.5*Assumptions!$B$32)</f>
        <v>0.8600434416207811</v>
      </c>
      <c r="D14" s="21">
        <f>1/(1+Assumptions!$B$26)^(3-0.5*Assumptions!$B$32)</f>
        <v>0.7777988810816836</v>
      </c>
      <c r="E14" s="21">
        <f>1/(1+Assumptions!$B$26)^(4-0.5*Assumptions!$B$32)</f>
        <v>0.7034192345817213</v>
      </c>
      <c r="F14" s="21">
        <f>1/(1+Assumptions!$B$26)^(5-0.5*Assumptions!$B$32)</f>
        <v>0.636152393137181</v>
      </c>
    </row>
    <row r="15" spans="1:6" x14ac:dyDescent="0.25">
      <c r="A15" s="19" t="s">
        <v>51</v>
      </c>
      <c r="B15" s="20">
        <f>B13*B14</f>
        <v>1217842165.7625537</v>
      </c>
      <c r="C15" s="20">
        <f>C13*C14</f>
        <v>1137446729.92456</v>
      </c>
      <c r="D15" s="20">
        <f>D13*D14</f>
        <v>1062358571.404833</v>
      </c>
      <c r="E15" s="20">
        <f>E13*E14</f>
        <v>992227332.0985957</v>
      </c>
      <c r="F15" s="20">
        <f>F13*F14</f>
        <v>926725782.6720427</v>
      </c>
    </row>
    <row r="17" spans="1:2" x14ac:dyDescent="0.25">
      <c r="A17" s="22" t="s">
        <v>52</v>
      </c>
      <c r="B17" s="23">
        <f>SUM(B15:F15)</f>
        <v>5336600581.862585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1456766951.8649473</v>
      </c>
    </row>
    <row r="5" spans="1:2" x14ac:dyDescent="0.25">
      <c r="A5" t="s">
        <v>56</v>
      </c>
      <c r="B5" s="18">
        <f>IF(Assumptions!$B$33=0,B4,B4-Forecast!F11-Forecast!F10-Forecast!F12)</f>
        <v>1591990057.4410865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0.2364286695628747</v>
      </c>
    </row>
    <row r="7" spans="1:2" x14ac:dyDescent="0.25">
      <c r="A7" t="s">
        <v>58</v>
      </c>
      <c r="B7" s="18">
        <f>-MAX(Forecast!F9,0)*B6</f>
        <v>-376392091.23812056</v>
      </c>
    </row>
    <row r="8" spans="1:2" x14ac:dyDescent="0.25">
      <c r="A8" t="s">
        <v>59</v>
      </c>
      <c r="B8" s="18">
        <f>IF(OR(Assumptions!$B$33=0,Assumptions!B12&lt;=0),B5,MAX(B5+B7,0))</f>
        <v>1215597966.202966</v>
      </c>
    </row>
    <row r="9" spans="1:2" x14ac:dyDescent="0.25">
      <c r="A9" t="s">
        <v>60</v>
      </c>
      <c r="B9" s="18">
        <f>B8*(1+Assumptions!B12)/(Assumptions!B26-Assumptions!B12)</f>
        <v>15432075740.762943</v>
      </c>
    </row>
    <row r="10" spans="1:2" x14ac:dyDescent="0.25">
      <c r="A10" t="s">
        <v>61</v>
      </c>
      <c r="B10" s="18">
        <f>B9/(1+Assumptions!B26)^(5-0.5*Assumptions!B32)</f>
        <v>9817151913.560581</v>
      </c>
    </row>
    <row r="11" spans="1:2" x14ac:dyDescent="0.25">
      <c r="A11" t="s">
        <v>62</v>
      </c>
      <c r="B11" s="18">
        <f>Forecast!B17+B10</f>
        <v>15153752495.423166</v>
      </c>
    </row>
    <row r="12" spans="1:2" x14ac:dyDescent="0.25">
      <c r="A12" t="s">
        <v>63</v>
      </c>
      <c r="B12" s="18">
        <f>-Assumptions!B30</f>
        <v>-7851000000</v>
      </c>
    </row>
    <row r="13" spans="1:2" x14ac:dyDescent="0.25">
      <c r="A13" t="s">
        <v>64</v>
      </c>
      <c r="B13" s="18">
        <f>B11+B12</f>
        <v>7302752495.423166</v>
      </c>
    </row>
    <row r="14" spans="1:2" x14ac:dyDescent="0.25">
      <c r="A14" s="19" t="s">
        <v>65</v>
      </c>
      <c r="B14" s="24">
        <f>B13/Assumptions!B31</f>
        <v>8.38433122321833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3693202632.6336985</v>
      </c>
    </row>
    <row r="18" spans="1:2" x14ac:dyDescent="0.25">
      <c r="A18" t="s">
        <v>60</v>
      </c>
      <c r="B18" s="18">
        <f>B17*Assumptions!B13</f>
        <v>73864052652.67397</v>
      </c>
    </row>
    <row r="19" spans="1:2" x14ac:dyDescent="0.25">
      <c r="A19" t="s">
        <v>61</v>
      </c>
      <c r="B19" s="18">
        <f>B18/(1+Assumptions!B26)^(5-0.5*Assumptions!B32)</f>
        <v>46988793861.80928</v>
      </c>
    </row>
    <row r="20" spans="1:2" x14ac:dyDescent="0.25">
      <c r="A20" t="s">
        <v>62</v>
      </c>
      <c r="B20" s="18">
        <f>Forecast!B17+B19</f>
        <v>52325394443.67187</v>
      </c>
    </row>
    <row r="21" spans="1:2" x14ac:dyDescent="0.25">
      <c r="A21" t="s">
        <v>63</v>
      </c>
      <c r="B21" s="18">
        <f>-Assumptions!B30</f>
        <v>-7851000000</v>
      </c>
    </row>
    <row r="22" spans="1:2" x14ac:dyDescent="0.25">
      <c r="A22" t="s">
        <v>64</v>
      </c>
      <c r="B22" s="18">
        <f>B20+B21</f>
        <v>44474394443.67187</v>
      </c>
    </row>
    <row r="23" spans="1:2" x14ac:dyDescent="0.25">
      <c r="A23" s="19" t="s">
        <v>65</v>
      </c>
      <c r="B23" s="25">
        <f>B22/Assumptions!B31</f>
        <v>51.06130246116173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150.13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8.38433122321833</v>
      </c>
    </row>
    <row r="29" spans="1:2" x14ac:dyDescent="0.25">
      <c r="A29" s="19" t="s">
        <v>73</v>
      </c>
      <c r="B29" s="12">
        <f>B28/B26-1</f>
        <v>-0.9441528593670929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0.08574</v>
      </c>
      <c r="B5" s="31">
        <v>12.3284808249642</v>
      </c>
      <c r="C5" s="31">
        <v>12.402091779591286</v>
      </c>
      <c r="D5" s="31">
        <v>12.475702734218366</v>
      </c>
      <c r="E5" s="31">
        <v>12.549313688845444</v>
      </c>
      <c r="F5" s="31">
        <v>12.622924643472533</v>
      </c>
    </row>
    <row r="6" spans="1:6" x14ac:dyDescent="0.25">
      <c r="A6" s="30">
        <v>0.09574</v>
      </c>
      <c r="B6" s="31">
        <v>10.088070877892461</v>
      </c>
      <c r="C6" s="31">
        <v>10.151328804915485</v>
      </c>
      <c r="D6" s="31">
        <v>10.214586731938512</v>
      </c>
      <c r="E6" s="31">
        <v>10.27784465896153</v>
      </c>
      <c r="F6" s="31">
        <v>10.341102585984554</v>
      </c>
    </row>
    <row r="7" spans="1:6" x14ac:dyDescent="0.25">
      <c r="A7" s="30">
        <v>0.10574</v>
      </c>
      <c r="B7" s="31">
        <v>8.274391545455838</v>
      </c>
      <c r="C7" s="31">
        <v>8.329372756605668</v>
      </c>
      <c r="D7" s="32">
        <v>8.384353967755489</v>
      </c>
      <c r="E7" s="31">
        <v>8.439335178905319</v>
      </c>
      <c r="F7" s="31">
        <v>8.494316390055145</v>
      </c>
    </row>
    <row r="8" spans="1:6" x14ac:dyDescent="0.25">
      <c r="A8" s="30">
        <v>0.11574</v>
      </c>
      <c r="B8" s="31">
        <v>6.776677801766699</v>
      </c>
      <c r="C8" s="31">
        <v>6.8249142373715435</v>
      </c>
      <c r="D8" s="31">
        <v>6.873150672976387</v>
      </c>
      <c r="E8" s="31">
        <v>6.921387108581232</v>
      </c>
      <c r="F8" s="31">
        <v>6.9696235441860805</v>
      </c>
    </row>
    <row r="9" spans="1:6" x14ac:dyDescent="0.25">
      <c r="A9" s="30">
        <v>0.12574</v>
      </c>
      <c r="B9" s="31">
        <v>5.519409950286977</v>
      </c>
      <c r="C9" s="31">
        <v>5.562062726523867</v>
      </c>
      <c r="D9" s="31">
        <v>5.60471550276075</v>
      </c>
      <c r="E9" s="31">
        <v>5.64736827899764</v>
      </c>
      <c r="F9" s="31">
        <v>5.690021055234526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15629000000</v>
      </c>
      <c r="C5" s="18">
        <v>13118000000</v>
      </c>
      <c r="D5" s="18">
        <v>12588000000</v>
      </c>
      <c r="E5" s="18">
        <v>14189000000</v>
      </c>
      <c r="F5" s="8" t="s">
        <v>84</v>
      </c>
    </row>
    <row r="6" spans="1:6" x14ac:dyDescent="0.25">
      <c r="A6" t="s">
        <v>44</v>
      </c>
      <c r="B6" s="18">
        <v>2279000000</v>
      </c>
      <c r="C6" s="18">
        <v>1135000000</v>
      </c>
      <c r="D6" s="18">
        <v>890000000</v>
      </c>
      <c r="E6" s="18">
        <v>1438000000</v>
      </c>
      <c r="F6" s="8" t="s">
        <v>85</v>
      </c>
    </row>
    <row r="7" spans="1:6" x14ac:dyDescent="0.25">
      <c r="A7" t="s">
        <v>86</v>
      </c>
      <c r="B7" s="18">
        <v>1347000000</v>
      </c>
      <c r="C7" s="18">
        <v>1350000000</v>
      </c>
      <c r="D7" s="18">
        <v>1369000000</v>
      </c>
      <c r="E7" s="18">
        <v>1452000000</v>
      </c>
      <c r="F7" s="8" t="s">
        <v>87</v>
      </c>
    </row>
    <row r="8" spans="1:6" x14ac:dyDescent="0.25">
      <c r="A8" t="s">
        <v>88</v>
      </c>
      <c r="B8" s="18">
        <v>1282000000</v>
      </c>
      <c r="C8" s="18">
        <v>965000000</v>
      </c>
      <c r="D8" s="18">
        <v>1390000000</v>
      </c>
      <c r="E8" s="18">
        <v>1604000000</v>
      </c>
      <c r="F8" s="8" t="s">
        <v>89</v>
      </c>
    </row>
    <row r="9" spans="1:6" x14ac:dyDescent="0.25">
      <c r="A9" t="s">
        <v>90</v>
      </c>
      <c r="B9" s="18">
        <v>460000000</v>
      </c>
      <c r="C9" s="18">
        <v>558000000</v>
      </c>
      <c r="D9" s="18">
        <v>93000000</v>
      </c>
      <c r="E9" s="18">
        <v>79000000</v>
      </c>
      <c r="F9" s="8" t="s">
        <v>91</v>
      </c>
    </row>
    <row r="10" spans="1:6" x14ac:dyDescent="0.25">
      <c r="A10" t="s">
        <v>92</v>
      </c>
      <c r="B10" s="18">
        <v>9377000000</v>
      </c>
      <c r="C10" s="18">
        <v>8091000000</v>
      </c>
      <c r="D10" s="18">
        <v>8484000000</v>
      </c>
      <c r="E10" s="18">
        <v>7817000000</v>
      </c>
      <c r="F10" s="8" t="s">
        <v>93</v>
      </c>
    </row>
    <row r="11" spans="1:6" x14ac:dyDescent="0.25">
      <c r="A11" t="s">
        <v>94</v>
      </c>
      <c r="B11" s="18">
        <v>1526000000</v>
      </c>
      <c r="C11" s="18">
        <v>1768000000</v>
      </c>
      <c r="D11" s="18">
        <v>1779000000</v>
      </c>
      <c r="E11" s="18">
        <v>1671000000</v>
      </c>
      <c r="F11" s="8" t="s">
        <v>95</v>
      </c>
    </row>
    <row r="12" spans="1:6" x14ac:dyDescent="0.25">
      <c r="A12" t="s">
        <v>32</v>
      </c>
      <c r="B12" s="34">
        <v>871000000</v>
      </c>
      <c r="C12" s="34">
        <v>869000000</v>
      </c>
      <c r="D12" s="34">
        <v>859000000</v>
      </c>
      <c r="E12" s="34">
        <v>857000000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2026-09-19T01:04:20Z</dcterms:modified>
</cp:coreProperties>
</file>