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<sst xmlns="http://schemas.openxmlformats.org/spreadsheetml/2006/main" count="120" uniqueCount="107">
  <si>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Corning Incorporated (GLW)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</si>
  <si>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</si>
  <si>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</si>
  <si>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</si>
  <si>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</si>
  <si>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</si>
  <si>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</si>
  <si>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</si>
  <si>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</si>
  <si>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</si>
  <si>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</si>
  <si>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</si>
  <si>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</si>
  <si>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</si>
  <si>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</si>
  <si>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</si>
  <si>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</si>
  <si>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</si>
  <si>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</si>
  <si>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</si>
  <si>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</si>
  <si>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</si>
  <si>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</si>
  <si>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</si>
  <si>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6.8x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</si>
  <si>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</si>
  <si>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</si>
  <si>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</si>
  <si>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</si>
  <si>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</si>
  <si>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</si>
  <si>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</si>
  <si>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</si>
  <si>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</si>
  <si>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</si>
  <si>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</si>
  <si>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</si>
  <si>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</si>
  <si>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</si>
  <si>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</si>
  <si>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</si>
  <si>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</si>
  <si>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</si>
  <si>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</si>
  <si>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</si>
  <si>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</si>
  <si>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</si>
  <si>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</si>
  <si>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</si>
  <si>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</si>
  <si>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</si>
  <si>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</si>
  <si>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</si>
  <si>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</si>
  <si>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</si>
  <si>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</si>
  <si>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</si>
  <si>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</si>
  <si>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</si>
  <si>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</si>
  <si>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</si>
  <si>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</si>
  <si>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</si>
  <si>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</si>
  <si>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</si>
  <si>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</si>
  <si>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</si>
  <si>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</si>
  <si>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</si>
  <si>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</si>
  <si>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</si>
  <si>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</si>
  <si>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</si>
  <si>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</si>
  <si>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</si>
  <si>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</si>
  <si>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</si>
  <si>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</si>
  <si>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</si>
  <si>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</si>
  <si>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</si>
  <si>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</si>
  <si>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</si>
  <si>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</si>
  <si>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</si>
  <si>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</si>
  <si>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</si>
  <si>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</si>
  <si>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</si>
  <si>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</si>
  <si>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</si>
  <si>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</si>
  <si>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</si>
  <si>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</si>
  <si>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</si>
  <si>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</si>
  <si>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</si>
  <si>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</si>
  <si>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</si>
  <si>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</si>
  <si>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</si>
  <si>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</si>
  <si>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</si>
  <si>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</si>
  <si>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</si>
  <si>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31.5x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</si>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</sst>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0.24282644826924304</v>
      </c>
    </row>
    <row r="7" spans="1:2" x14ac:dyDescent="0.25">
      <c r="A7" t="s">
        <v>4</v>
      </c>
      <c r="B7" s="5">
        <v>0.10109734386137226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0.10004628198056295</v>
      </c>
    </row>
    <row r="10" spans="1:3" x14ac:dyDescent="0.25">
      <c r="A10" t="s">
        <v>7</v>
      </c>
      <c r="B10" s="5">
        <v>0.09476449643780005</v>
      </c>
      <c r="C10" s="6" t="s">
        <v>8</v>
      </c>
    </row>
    <row r="11" spans="1:2" x14ac:dyDescent="0.25">
      <c r="A11" t="s">
        <v>9</v>
      </c>
      <c r="B11" s="5">
        <v>0.23413710951769462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0.09053063024055845</v>
      </c>
      <c r="C14" s="6" t="s">
        <v>13</v>
      </c>
    </row>
    <row r="15" spans="1:3" x14ac:dyDescent="0.25">
      <c r="A15" t="s">
        <v>14</v>
      </c>
      <c r="B15" s="5">
        <v>0.09139062642053895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1.0824099999999999</v>
      </c>
      <c r="C19" s="6" t="s">
        <v>21</v>
      </c>
    </row>
    <row r="20" spans="1:2" x14ac:dyDescent="0.25">
      <c r="A20" t="s">
        <v>22</v>
      </c>
      <c r="B20" s="9">
        <f>B17+B19*B18</f>
        <v>0.09472594299999999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106219364352</v>
      </c>
    </row>
    <row r="23" spans="1:2" x14ac:dyDescent="0.25">
      <c r="A23" t="s">
        <v>26</v>
      </c>
      <c r="B23" s="10">
        <v>9377000000</v>
      </c>
    </row>
    <row r="24" spans="1:2" x14ac:dyDescent="0.25">
      <c r="A24" t="s">
        <v>27</v>
      </c>
      <c r="B24" s="9">
        <f>B22/(B22+B23)</f>
        <v>0.9188815318495113</v>
      </c>
    </row>
    <row r="25" spans="1:2" x14ac:dyDescent="0.25">
      <c r="A25" t="s">
        <v>28</v>
      </c>
      <c r="B25" s="9">
        <f>1-B24</f>
        <v>0.08111846815048873</v>
      </c>
    </row>
    <row r="26" spans="1:2" x14ac:dyDescent="0.25">
      <c r="A26" t="s">
        <v>29</v>
      </c>
      <c r="B26" s="11">
        <f>B24*B20+B25*B21*(1-B8)</f>
        <v>0.09053063024055845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15629000000</v>
      </c>
      <c r="C29" s="6" t="s">
        <v>32</v>
      </c>
    </row>
    <row r="30" spans="1:2" x14ac:dyDescent="0.25">
      <c r="A30" t="s">
        <v>33</v>
      </c>
      <c r="B30" s="10">
        <v>7851000000</v>
      </c>
    </row>
    <row r="31" spans="1:2" x14ac:dyDescent="0.25">
      <c r="A31" t="s">
        <v>34</v>
      </c>
      <c r="B31" s="12">
        <v>871000000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0.24282644826924304</v>
      </c>
      <c r="C5" s="5">
        <v>0.21157839013652313</v>
      </c>
      <c r="D5" s="5">
        <v>0.18825609136945773</v>
      </c>
      <c r="E5" s="5">
        <v>0.16493379260239235</v>
      </c>
      <c r="F5" s="5">
        <v>0.14161149383532695</v>
      </c>
      <c r="G5" s="5">
        <v>0.11828919506826156</v>
      </c>
      <c r="H5" s="5">
        <v>0.09496689630119617</v>
      </c>
      <c r="I5" s="5">
        <v>0.07164459753413077</v>
      </c>
      <c r="J5" s="5">
        <v>0.0483222987670654</v>
      </c>
      <c r="K5" s="5">
        <v>0.024999999999999994</v>
      </c>
    </row>
    <row r="6" spans="1:11" x14ac:dyDescent="0.25">
      <c r="A6" t="s">
        <v>50</v>
      </c>
      <c r="B6" s="18">
        <f>Assumptions!B29*(1+B5)</f>
        <v>19424134560</v>
      </c>
      <c r="C6" s="18">
        <f>B6*(1+C5)</f>
        <v>23533861680.000004</v>
      </c>
      <c r="D6" s="18">
        <f>C6*(1+D5)</f>
        <v>27964254494.706264</v>
      </c>
      <c r="E6" s="18">
        <f>D6*(1+E5)</f>
        <v>32576505045.816666</v>
      </c>
      <c r="F6" s="18">
        <f>E6*(1+F5)</f>
        <v>37189712589.28883</v>
      </c>
      <c r="G6" s="18">
        <f>F6*(1+G5)</f>
        <v>41588853756.29581</v>
      </c>
      <c r="H6" s="18">
        <f>G6*(1+H5)</f>
        <v>45538418118.25557</v>
      </c>
      <c r="I6" s="18">
        <f>H6*(1+I5)</f>
        <v>48800999756.678955</v>
      </c>
      <c r="J6" s="18">
        <f>I6*(1+J5)</f>
        <v>51159176247.05269</v>
      </c>
      <c r="K6" s="18">
        <f>J6*(1+K5)</f>
        <v>52438155653.229004</v>
      </c>
    </row>
    <row r="7" spans="1:11" x14ac:dyDescent="0.25">
      <c r="A7" t="s">
        <v>4</v>
      </c>
      <c r="B7" s="9">
        <f>Assumptions!B7</f>
        <v>0.10109734386137226</v>
      </c>
      <c r="C7" s="9">
        <f>Assumptions!B7</f>
        <v>0.10109734386137226</v>
      </c>
      <c r="D7" s="9">
        <f>Assumptions!B7</f>
        <v>0.10109734386137226</v>
      </c>
      <c r="E7" s="9">
        <f>Assumptions!B7</f>
        <v>0.10109734386137226</v>
      </c>
      <c r="F7" s="9">
        <f>Assumptions!B7</f>
        <v>0.10109734386137226</v>
      </c>
      <c r="G7" s="9">
        <f>Assumptions!B7</f>
        <v>0.10109734386137226</v>
      </c>
      <c r="H7" s="9">
        <f>Assumptions!B7</f>
        <v>0.10109734386137226</v>
      </c>
      <c r="I7" s="9">
        <f>Assumptions!B7</f>
        <v>0.10109734386137226</v>
      </c>
      <c r="J7" s="9">
        <f>Assumptions!B7</f>
        <v>0.10109734386137226</v>
      </c>
      <c r="K7" s="9">
        <f>Assumptions!B7</f>
        <v>0.10109734386137226</v>
      </c>
    </row>
    <row r="8" spans="1:11" x14ac:dyDescent="0.25">
      <c r="A8" t="s">
        <v>51</v>
      </c>
      <c r="B8" s="18">
        <f>B6*B7</f>
        <v>1963728410.8218846</v>
      </c>
      <c r="C8" s="18">
        <f>C6*C7</f>
        <v>2379210906.648932</v>
      </c>
      <c r="D8" s="18">
        <f>D6*D7</f>
        <v>2827111852.478244</v>
      </c>
      <c r="E8" s="18">
        <f>E6*E7</f>
        <v>3293398132.418656</v>
      </c>
      <c r="F8" s="18">
        <f>F6*F7</f>
        <v>3759781161.744938</v>
      </c>
      <c r="G8" s="18">
        <f>G6*G7</f>
        <v>4204522649.0005603</v>
      </c>
      <c r="H8" s="18">
        <f>H6*H7</f>
        <v>4603813115.404228</v>
      </c>
      <c r="I8" s="18">
        <f>I6*I7</f>
        <v>4933651453.179716</v>
      </c>
      <c r="J8" s="18">
        <f>J6*J7</f>
        <v>5172056832.712833</v>
      </c>
      <c r="K8" s="18">
        <f>K6*K7</f>
        <v>5301358253.530654</v>
      </c>
    </row>
    <row r="9" spans="1:11" x14ac:dyDescent="0.25">
      <c r="A9" t="s">
        <v>52</v>
      </c>
      <c r="B9" s="18">
        <f>B8*(1-Assumptions!B8)</f>
        <v>1551345444.549289</v>
      </c>
      <c r="C9" s="18">
        <f>C8*(1-Assumptions!B8)</f>
        <v>1879576616.2526565</v>
      </c>
      <c r="D9" s="18">
        <f>D8*(1-Assumptions!B8)</f>
        <v>2233418363.457813</v>
      </c>
      <c r="E9" s="18">
        <f>E8*(1-Assumptions!B8)</f>
        <v>2601784524.6107383</v>
      </c>
      <c r="F9" s="18">
        <f>F8*(1-Assumptions!B8)</f>
        <v>2970227117.778501</v>
      </c>
      <c r="G9" s="18">
        <f>G8*(1-Assumptions!B8)</f>
        <v>3321572892.7104425</v>
      </c>
      <c r="H9" s="18">
        <f>H8*(1-Assumptions!B8)</f>
        <v>3637012361.1693406</v>
      </c>
      <c r="I9" s="18">
        <f>I8*(1-Assumptions!B8)</f>
        <v>3897584648.011976</v>
      </c>
      <c r="J9" s="18">
        <f>J8*(1-Assumptions!B8)</f>
        <v>4085924897.8431387</v>
      </c>
      <c r="K9" s="18">
        <f>K8*(1-Assumptions!B8)</f>
        <v>4188073020.289217</v>
      </c>
    </row>
    <row r="10" spans="1:11" x14ac:dyDescent="0.25">
      <c r="A10" t="s">
        <v>53</v>
      </c>
      <c r="B10" s="18">
        <f>B6*Assumptions!B9</f>
        <v>1943312443.418158</v>
      </c>
      <c r="C10" s="18">
        <f>C6*Assumptions!B9</f>
        <v>2354475361.728845</v>
      </c>
      <c r="D10" s="18">
        <f>D6*Assumptions!B9</f>
        <v>2797719690.553608</v>
      </c>
      <c r="E10" s="18">
        <f>E6*Assumptions!B9</f>
        <v>3259158209.755006</v>
      </c>
      <c r="F10" s="18">
        <f>F6*Assumptions!B9</f>
        <v>3720692472.4840827</v>
      </c>
      <c r="G10" s="18">
        <f>G6*Assumptions!B9</f>
        <v>4160810190.150765</v>
      </c>
      <c r="H10" s="18">
        <f>H6*Assumptions!B9</f>
        <v>4555949420.007773</v>
      </c>
      <c r="I10" s="18">
        <f>I6*Assumptions!B9</f>
        <v>4882358582.590087</v>
      </c>
      <c r="J10" s="18">
        <f>J6*Assumptions!B9</f>
        <v>5118285372.705952</v>
      </c>
      <c r="K10" s="18">
        <f>K6*Assumptions!B9</f>
        <v>5246242507.023601</v>
      </c>
    </row>
    <row r="11" spans="1:11" x14ac:dyDescent="0.25">
      <c r="A11" t="s">
        <v>54</v>
      </c>
      <c r="B11" s="18">
        <f>-B6*B19</f>
        <v>-1840718330.3184688</v>
      </c>
      <c r="C11" s="18">
        <f>-C6*C19</f>
        <v>-2283961578.123859</v>
      </c>
      <c r="D11" s="18">
        <f>-D6*D19</f>
        <v>-2777844019.869624</v>
      </c>
      <c r="E11" s="18">
        <f>-E6*E19</f>
        <v>-3310458505.8017607</v>
      </c>
      <c r="F11" s="18">
        <f>-F6*F19</f>
        <v>-3864255178.0541277</v>
      </c>
      <c r="G11" s="18">
        <f>-G6*G19</f>
        <v>-4416406819.845469</v>
      </c>
      <c r="H11" s="18">
        <f>-H6*H19</f>
        <v>-4939898069.685461</v>
      </c>
      <c r="I11" s="18">
        <f>-I6*I19</f>
        <v>-5405350563.938509</v>
      </c>
      <c r="J11" s="18">
        <f>-J6*J19</f>
        <v>-5783474665.059195</v>
      </c>
      <c r="K11" s="18">
        <f>-K6*K19</f>
        <v>-6047909796.32073</v>
      </c>
    </row>
    <row r="12" spans="1:11" x14ac:dyDescent="0.25">
      <c r="A12" t="s">
        <v>55</v>
      </c>
      <c r="B12" s="18">
        <f>-(B6-Assumptions!B29)*Assumptions!B11</f>
        <v>-888581836.1091077</v>
      </c>
      <c r="C12" s="18">
        <f>-(C6-B6)*Assumptions!B11</f>
        <v>-962239628.7832806</v>
      </c>
      <c r="D12" s="18">
        <f>-(D6-C6)*Assumptions!B11</f>
        <v>-1037319367.663287</v>
      </c>
      <c r="E12" s="18">
        <f>-(E6-D6)*Assumptions!B11</f>
        <v>-1079899012.4083834</v>
      </c>
      <c r="F12" s="18">
        <f>-(F6-E6)*Assumptions!B11</f>
        <v>-1080123079.833798</v>
      </c>
      <c r="G12" s="18">
        <f>-(G6-F6)*Assumptions!B11</f>
        <v>-1030002197.2033106</v>
      </c>
      <c r="H12" s="18">
        <f>-(H6-G6)*Assumptions!B11</f>
        <v>-924739583.5633566</v>
      </c>
      <c r="I12" s="18">
        <f>-(I6-H6)*Assumptions!B11</f>
        <v>-763891434.3859558</v>
      </c>
      <c r="J12" s="18">
        <f>-(J6-I6)*Assumptions!B11</f>
        <v>-552136627.1886876</v>
      </c>
      <c r="K12" s="18">
        <f>-(K6-J6)*Assumptions!B11</f>
        <v>-299456541.29477996</v>
      </c>
    </row>
    <row r="13" spans="1:11" x14ac:dyDescent="0.25">
      <c r="A13" s="19" t="s">
        <v>56</v>
      </c>
      <c r="B13" s="20">
        <f>B9+B10+B11+B12</f>
        <v>765357721.5398707</v>
      </c>
      <c r="C13" s="20">
        <f>C9+C10+C11+C12</f>
        <v>987850771.074362</v>
      </c>
      <c r="D13" s="20">
        <f>D9+D10+D11+D12</f>
        <v>1215974666.47851</v>
      </c>
      <c r="E13" s="20">
        <f>E9+E10+E11+E12</f>
        <v>1470585216.1555996</v>
      </c>
      <c r="F13" s="20">
        <f>F9+F10+F11+F12</f>
        <v>1746541332.374658</v>
      </c>
      <c r="G13" s="20">
        <f>G9+G10+G11+G12</f>
        <v>2035974065.812428</v>
      </c>
      <c r="H13" s="20">
        <f>H9+H10+H11+H12</f>
        <v>2328324127.928297</v>
      </c>
      <c r="I13" s="20">
        <f>I9+I10+I11+I12</f>
        <v>2610701232.2775974</v>
      </c>
      <c r="J13" s="20">
        <f>J9+J10+J11+J12</f>
        <v>2868598978.3012094</v>
      </c>
      <c r="K13" s="20">
        <f>K9+K10+K11+K12</f>
        <v>3086949189.6973066</v>
      </c>
    </row>
    <row r="14" spans="1:11" x14ac:dyDescent="0.25">
      <c r="A14" t="s">
        <v>57</v>
      </c>
      <c r="B14" s="21">
        <f>1/(1+Assumptions!$B$26)^(1-0.5*Assumptions!$B$32)</f>
        <v>0.9575932273778696</v>
      </c>
      <c r="C14" s="21">
        <f>1/(1+Assumptions!$B$26)^(2-0.5*Assumptions!$B$32)</f>
        <v>0.8780984236698015</v>
      </c>
      <c r="D14" s="21">
        <f>1/(1+Assumptions!$B$26)^(3-0.5*Assumptions!$B$32)</f>
        <v>0.8052028978554259</v>
      </c>
      <c r="E14" s="21">
        <f>1/(1+Assumptions!$B$26)^(4-0.5*Assumptions!$B$32)</f>
        <v>0.7383588094887417</v>
      </c>
      <c r="F14" s="21">
        <f>1/(1+Assumptions!$B$26)^(5-0.5*Assumptions!$B$32)</f>
        <v>0.6770637972139015</v>
      </c>
      <c r="G14" s="21">
        <f>1/(1+Assumptions!$B$26)^(6-0.5*Assumptions!$B$32)</f>
        <v>0.6208572033089516</v>
      </c>
      <c r="H14" s="21">
        <f>1/(1+Assumptions!$B$26)^(7-0.5*Assumptions!$B$32)</f>
        <v>0.5693166116498697</v>
      </c>
      <c r="I14" s="21">
        <f>1/(1+Assumptions!$B$26)^(8-0.5*Assumptions!$B$32)</f>
        <v>0.5220546730762482</v>
      </c>
      <c r="J14" s="21">
        <f>1/(1+Assumptions!$B$26)^(9-0.5*Assumptions!$B$32)</f>
        <v>0.4787161942999153</v>
      </c>
      <c r="K14" s="21">
        <f>1/(1+Assumptions!$B$26)^(10-0.5*Assumptions!$B$32)</f>
        <v>0.4389754684784196</v>
      </c>
    </row>
    <row r="15" spans="1:11" x14ac:dyDescent="0.25">
      <c r="A15" s="19" t="s">
        <v>58</v>
      </c>
      <c r="B15" s="20">
        <f>B13*B14</f>
        <v>732901370.6679376</v>
      </c>
      <c r="C15" s="20">
        <f>C13*C14</f>
        <v>867430204.9013952</v>
      </c>
      <c r="D15" s="20">
        <f>D13*D14</f>
        <v>979106325.1672812</v>
      </c>
      <c r="E15" s="20">
        <f>E13*E14</f>
        <v>1085819549.4523923</v>
      </c>
      <c r="F15" s="20">
        <f>F13*F14</f>
        <v>1182519906.488613</v>
      </c>
      <c r="G15" s="20">
        <f>G13*G14</f>
        <v>1264049164.5098593</v>
      </c>
      <c r="H15" s="20">
        <f>H13*H14</f>
        <v>1325553603.3347757</v>
      </c>
      <c r="I15" s="20">
        <f>I13*I14</f>
        <v>1362928778.3164394</v>
      </c>
      <c r="J15" s="20">
        <f>J13*J14</f>
        <v>1373244785.8649802</v>
      </c>
      <c r="K15" s="20">
        <f>K13*K14</f>
        <v>1355094966.716453</v>
      </c>
    </row>
    <row r="17" spans="1:2" x14ac:dyDescent="0.25">
      <c r="A17" s="22" t="s">
        <v>59</v>
      </c>
      <c r="B17" s="23">
        <f>SUM(B15:K15)</f>
        <v>11528648655.420128</v>
      </c>
    </row>
    <row r="19" spans="1:11" x14ac:dyDescent="0.25">
      <c r="A19" t="s">
        <v>7</v>
      </c>
      <c r="B19" s="9">
        <f>Assumptions!$B$10+($B$20-Assumptions!$B$10)*0/9</f>
        <v>0.09476449643780005</v>
      </c>
      <c r="C19" s="9">
        <f>Assumptions!$B$10+($B$20-Assumptions!$B$10)*1/9</f>
        <v>0.09705001283596644</v>
      </c>
      <c r="D19" s="9">
        <f>Assumptions!$B$10+($B$20-Assumptions!$B$10)*2/9</f>
        <v>0.09933552923413282</v>
      </c>
      <c r="E19" s="9">
        <f>Assumptions!$B$10+($B$20-Assumptions!$B$10)*3/9</f>
        <v>0.1016210456322992</v>
      </c>
      <c r="F19" s="9">
        <f>Assumptions!$B$10+($B$20-Assumptions!$B$10)*4/9</f>
        <v>0.1039065620304656</v>
      </c>
      <c r="G19" s="9">
        <f>Assumptions!$B$10+($B$20-Assumptions!$B$10)*5/9</f>
        <v>0.10619207842863197</v>
      </c>
      <c r="H19" s="9">
        <f>Assumptions!$B$10+($B$20-Assumptions!$B$10)*6/9</f>
        <v>0.10847759482679836</v>
      </c>
      <c r="I19" s="9">
        <f>Assumptions!$B$10+($B$20-Assumptions!$B$10)*7/9</f>
        <v>0.11076311122496475</v>
      </c>
      <c r="J19" s="9">
        <f>Assumptions!$B$10+($B$20-Assumptions!$B$10)*8/9</f>
        <v>0.11304862762313113</v>
      </c>
      <c r="K19" s="9">
        <f>Assumptions!$B$10+($B$20-Assumptions!$B$10)*9/9</f>
        <v>0.11533414402129752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0.11533414402129752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3086949189.6973066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4546643444.983665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0.2761496295073819</v>
      </c>
    </row>
    <row r="7" spans="1:2" x14ac:dyDescent="0.25">
      <c r="A7" t="s">
        <v>66</v>
      </c>
      <c r="B7" s="18">
        <f>-MAX(B5,0)*B6</f>
        <v>-1255553902.834406</v>
      </c>
    </row>
    <row r="8" spans="1:2" x14ac:dyDescent="0.25">
      <c r="A8" t="s">
        <v>67</v>
      </c>
      <c r="B8" s="18">
        <f>IF(OR(Assumptions!$B$33=0,Assumptions!B12&lt;=0),B5,MAX(B5+B7,0))</f>
        <v>3291089542.1492596</v>
      </c>
    </row>
    <row r="9" spans="1:2" x14ac:dyDescent="0.25">
      <c r="A9" t="s">
        <v>68</v>
      </c>
      <c r="B9" s="18">
        <f>B8*(1+Assumptions!B12)/(Assumptions!B26-Assumptions!B12)</f>
        <v>51477710016.21063</v>
      </c>
    </row>
    <row r="10" spans="1:2" x14ac:dyDescent="0.25">
      <c r="A10" t="s">
        <v>69</v>
      </c>
      <c r="B10" s="18">
        <f>B9/(1+Assumptions!B26)^(10-0.5*Assumptions!B32)</f>
        <v>22597451870.562298</v>
      </c>
    </row>
    <row r="11" spans="1:2" x14ac:dyDescent="0.25">
      <c r="A11" t="s">
        <v>70</v>
      </c>
      <c r="B11" s="18">
        <f>Forecast!B17+B10</f>
        <v>34126100525.982426</v>
      </c>
    </row>
    <row r="12" spans="1:2" x14ac:dyDescent="0.25">
      <c r="A12" t="s">
        <v>71</v>
      </c>
      <c r="B12" s="18">
        <f>-Assumptions!B30</f>
        <v>-7851000000</v>
      </c>
    </row>
    <row r="13" spans="1:2" x14ac:dyDescent="0.25">
      <c r="A13" t="s">
        <v>72</v>
      </c>
      <c r="B13" s="18">
        <f>B11+B12</f>
        <v>26275100525.982426</v>
      </c>
    </row>
    <row r="14" spans="1:2" x14ac:dyDescent="0.25">
      <c r="A14" s="19" t="s">
        <v>73</v>
      </c>
      <c r="B14" s="24">
        <f>B13/Assumptions!B31</f>
        <v>30.166590730175002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10547600760.554255</v>
      </c>
    </row>
    <row r="18" spans="1:2" x14ac:dyDescent="0.25">
      <c r="A18" t="s">
        <v>68</v>
      </c>
      <c r="B18" s="18">
        <f>B17*Assumptions!B13</f>
        <v>210952015211.08508</v>
      </c>
    </row>
    <row r="19" spans="1:2" x14ac:dyDescent="0.25">
      <c r="A19" t="s">
        <v>69</v>
      </c>
      <c r="B19" s="18">
        <f>B18/(1+Assumptions!B26)^(10-0.5*Assumptions!B32)</f>
        <v>92602759703.75278</v>
      </c>
    </row>
    <row r="20" spans="1:2" x14ac:dyDescent="0.25">
      <c r="A20" t="s">
        <v>70</v>
      </c>
      <c r="B20" s="18">
        <f>Forecast!B17+B19</f>
        <v>104131408359.17291</v>
      </c>
    </row>
    <row r="21" spans="1:2" x14ac:dyDescent="0.25">
      <c r="A21" t="s">
        <v>71</v>
      </c>
      <c r="B21" s="18">
        <f>-Assumptions!B30</f>
        <v>-7851000000</v>
      </c>
    </row>
    <row r="22" spans="1:2" x14ac:dyDescent="0.25">
      <c r="A22" t="s">
        <v>72</v>
      </c>
      <c r="B22" s="18">
        <f>B20+B21</f>
        <v>96280408359.17291</v>
      </c>
    </row>
    <row r="23" spans="1:2" x14ac:dyDescent="0.25">
      <c r="A23" s="19" t="s">
        <v>73</v>
      </c>
      <c r="B23" s="25">
        <f>B22/Assumptions!B31</f>
        <v>110.54007848355099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123.31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30.166590730175002</v>
      </c>
    </row>
    <row r="29" spans="1:2" x14ac:dyDescent="0.25">
      <c r="A29" s="19" t="s">
        <v>81</v>
      </c>
      <c r="B29" s="11">
        <f>B28/B26-1</f>
        <v>-0.7553597378138431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0.070531</v>
      </c>
      <c r="B5" s="31">
        <v>45.86009121693852</v>
      </c>
      <c r="C5" s="31">
        <v>45.07014302225709</v>
      </c>
      <c r="D5" s="31">
        <v>44.28019482757566</v>
      </c>
      <c r="E5" s="31">
        <v>43.49024663289425</v>
      </c>
      <c r="F5" s="31">
        <v>42.7002984382128</v>
      </c>
    </row>
    <row r="6" spans="1:6" x14ac:dyDescent="0.25">
      <c r="A6" s="30">
        <v>0.080531</v>
      </c>
      <c r="B6" s="31">
        <v>37.60890868939712</v>
      </c>
      <c r="C6" s="31">
        <v>36.95617605701357</v>
      </c>
      <c r="D6" s="31">
        <v>36.303443424630025</v>
      </c>
      <c r="E6" s="31">
        <v>35.650710792246485</v>
      </c>
      <c r="F6" s="31">
        <v>34.997978159862946</v>
      </c>
    </row>
    <row r="7" spans="1:6" x14ac:dyDescent="0.25">
      <c r="A7" s="30">
        <v>0.090531</v>
      </c>
      <c r="B7" s="31">
        <v>31.262915579986117</v>
      </c>
      <c r="C7" s="31">
        <v>30.714652904682566</v>
      </c>
      <c r="D7" s="32">
        <v>30.166390229379004</v>
      </c>
      <c r="E7" s="31">
        <v>29.61812755407544</v>
      </c>
      <c r="F7" s="31">
        <v>29.069864878771874</v>
      </c>
    </row>
    <row r="8" spans="1:6" x14ac:dyDescent="0.25">
      <c r="A8" s="30">
        <v>0.100531</v>
      </c>
      <c r="B8" s="31">
        <v>26.24786880767098</v>
      </c>
      <c r="C8" s="31">
        <v>25.781279430146938</v>
      </c>
      <c r="D8" s="31">
        <v>25.314690052622886</v>
      </c>
      <c r="E8" s="31">
        <v>24.84810067509884</v>
      </c>
      <c r="F8" s="31">
        <v>24.381511297574797</v>
      </c>
    </row>
    <row r="9" spans="1:6" x14ac:dyDescent="0.25">
      <c r="A9" s="30">
        <v>0.110531</v>
      </c>
      <c r="B9" s="31">
        <v>22.197798297208397</v>
      </c>
      <c r="C9" s="31">
        <v>21.796419466043876</v>
      </c>
      <c r="D9" s="31">
        <v>21.395040634879347</v>
      </c>
      <c r="E9" s="31">
        <v>20.993661803714826</v>
      </c>
      <c r="F9" s="31">
        <v>20.5922829725503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15629000000</v>
      </c>
      <c r="C5" s="18">
        <v>13118000000</v>
      </c>
      <c r="D5" s="18">
        <v>12588000000</v>
      </c>
      <c r="E5" s="18">
        <v>14189000000</v>
      </c>
      <c r="F5" s="6" t="s">
        <v>91</v>
      </c>
    </row>
    <row r="6" spans="1:6" x14ac:dyDescent="0.25">
      <c r="A6" t="s">
        <v>51</v>
      </c>
      <c r="B6" s="18">
        <v>2279000000</v>
      </c>
      <c r="C6" s="18">
        <v>1135000000</v>
      </c>
      <c r="D6" s="18">
        <v>890000000</v>
      </c>
      <c r="E6" s="18">
        <v>1438000000</v>
      </c>
      <c r="F6" s="6" t="s">
        <v>92</v>
      </c>
    </row>
    <row r="7" spans="1:6" x14ac:dyDescent="0.25">
      <c r="A7" t="s">
        <v>93</v>
      </c>
      <c r="B7" s="18">
        <v>1347000000</v>
      </c>
      <c r="C7" s="18">
        <v>1350000000</v>
      </c>
      <c r="D7" s="18">
        <v>1369000000</v>
      </c>
      <c r="E7" s="18">
        <v>1452000000</v>
      </c>
      <c r="F7" s="6" t="s">
        <v>94</v>
      </c>
    </row>
    <row r="8" spans="1:6" x14ac:dyDescent="0.25">
      <c r="A8" t="s">
        <v>95</v>
      </c>
      <c r="B8" s="18">
        <v>1282000000</v>
      </c>
      <c r="C8" s="18">
        <v>965000000</v>
      </c>
      <c r="D8" s="18">
        <v>1390000000</v>
      </c>
      <c r="E8" s="18">
        <v>1604000000</v>
      </c>
      <c r="F8" s="6" t="s">
        <v>96</v>
      </c>
    </row>
    <row r="9" spans="1:6" x14ac:dyDescent="0.25">
      <c r="A9" t="s">
        <v>97</v>
      </c>
      <c r="B9" s="18">
        <v>460000000</v>
      </c>
      <c r="C9" s="18">
        <v>558000000</v>
      </c>
      <c r="D9" s="18">
        <v>93000000</v>
      </c>
      <c r="E9" s="18">
        <v>79000000</v>
      </c>
      <c r="F9" s="6" t="s">
        <v>98</v>
      </c>
    </row>
    <row r="10" spans="1:6" x14ac:dyDescent="0.25">
      <c r="A10" t="s">
        <v>99</v>
      </c>
      <c r="B10" s="18">
        <v>9377000000</v>
      </c>
      <c r="C10" s="18">
        <v>8091000000</v>
      </c>
      <c r="D10" s="18">
        <v>8484000000</v>
      </c>
      <c r="E10" s="18">
        <v>7817000000</v>
      </c>
      <c r="F10" s="6" t="s">
        <v>100</v>
      </c>
    </row>
    <row r="11" spans="1:6" x14ac:dyDescent="0.25">
      <c r="A11" t="s">
        <v>101</v>
      </c>
      <c r="B11" s="18">
        <v>1526000000</v>
      </c>
      <c r="C11" s="18">
        <v>1768000000</v>
      </c>
      <c r="D11" s="18">
        <v>1779000000</v>
      </c>
      <c r="E11" s="18">
        <v>1671000000</v>
      </c>
      <c r="F11" s="6" t="s">
        <v>102</v>
      </c>
    </row>
    <row r="12" spans="1:6" x14ac:dyDescent="0.25">
      <c r="A12" t="s">
        <v>34</v>
      </c>
      <c r="B12" s="34">
        <v>871000000</v>
      </c>
      <c r="C12" s="34">
        <v>869000000</v>
      </c>
      <c r="D12" s="34">
        <v>859000000</v>
      </c>
      <c r="E12" s="34">
        <v>857000000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