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<sst xmlns="http://schemas.openxmlformats.org/spreadsheetml/2006/main" count="113" uniqueCount="101">
  <si>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General Motors Company (GM)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</si>
  <si>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</si>
  <si>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</si>
  <si>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</si>
  <si>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</si>
  <si>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</si>
  <si>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</si>
  <si>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</si>
  <si>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</si>
  <si>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</si>
  <si>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</si>
  <si>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</si>
  <si>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</si>
  <si>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</si>
  <si>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</si>
  <si>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</si>
  <si>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</si>
  <si>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</si>
  <si>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</si>
  <si>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</si>
  <si>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</si>
  <si>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</si>
  <si>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</si>
  <si>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</si>
  <si>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</si>
  <si>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</si>
  <si>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</si>
  <si>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</si>
  <si>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</si>
  <si>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</si>
  <si>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</si>
  <si>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</si>
  <si>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</si>
  <si>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</si>
  <si>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</si>
  <si>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</si>
  <si>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</si>
  <si>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</si>
  <si>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</si>
  <si>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</si>
  <si>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</si>
  <si>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</si>
  <si>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</si>
  <si>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</si>
  <si>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</si>
  <si>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</si>
  <si>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</si>
  <si>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</si>
  <si>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</si>
  <si>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</si>
  <si>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</si>
  <si>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</si>
  <si>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</si>
  <si>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</si>
  <si>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</si>
  <si>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</si>
  <si>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</si>
  <si>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</si>
  <si>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</si>
  <si>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</si>
  <si>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</si>
  <si>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</si>
  <si>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</si>
  <si>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</si>
  <si>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</si>
  <si>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</si>
  <si>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</si>
  <si>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</si>
  <si>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</si>
  <si>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</si>
  <si>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</si>
  <si>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</si>
  <si>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</si>
  <si>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</si>
  <si>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</si>
  <si>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</si>
  <si>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</si>
  <si>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</si>
  <si>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</si>
  <si>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</si>
  <si>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</si>
  <si>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</si>
  <si>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</si>
  <si>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</si>
  <si>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</si>
  <si>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</si>
  <si>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</si>
  <si>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</si>
  <si>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</si>
  <si>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</si>
  <si>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</si>
  <si>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</si>
  <si>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</si>
  <si>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</si>
  <si>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</si>
  <si>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</si>
  <si>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</si>
  <si>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</si>
  <si>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</si>
  <si>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13.8% of revenue against depreciation of 7.2%.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</si>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</sst>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0.05685834354915076</v>
      </c>
    </row>
    <row r="7" spans="1:2" x14ac:dyDescent="0.25">
      <c r="A7" t="s">
        <v>5</v>
      </c>
      <c r="B7" s="6">
        <v>0.05095958091335011</v>
      </c>
    </row>
    <row r="8" spans="1:2" x14ac:dyDescent="0.25">
      <c r="A8" t="s">
        <v>6</v>
      </c>
      <c r="B8" s="6">
        <v>0.13561916229095677</v>
      </c>
    </row>
    <row r="9" spans="1:2" x14ac:dyDescent="0.25">
      <c r="A9" t="s">
        <v>7</v>
      </c>
      <c r="B9" s="6">
        <v>0.07153832695644805</v>
      </c>
    </row>
    <row r="10" spans="1:2" x14ac:dyDescent="0.25">
      <c r="A10" t="s">
        <v>8</v>
      </c>
      <c r="B10" s="6">
        <v>0.1383303430489044</v>
      </c>
    </row>
    <row r="11" spans="1:2" x14ac:dyDescent="0.25">
      <c r="A11" t="s">
        <v>9</v>
      </c>
      <c r="B11" s="6">
        <v>0.09801282051282051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10.172538970566382</v>
      </c>
    </row>
    <row r="14" spans="1:3" x14ac:dyDescent="0.25">
      <c r="A14" t="s">
        <v>12</v>
      </c>
      <c r="B14" s="6">
        <v>0.06981092636369639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1.2150699999999999</v>
      </c>
      <c r="C19" s="8" t="s">
        <v>19</v>
      </c>
    </row>
    <row r="20" spans="1:2" x14ac:dyDescent="0.25">
      <c r="A20" t="s">
        <v>20</v>
      </c>
      <c r="B20" s="10">
        <f>B17+B19*B18</f>
        <v>0.11680884999999999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74345914368</v>
      </c>
    </row>
    <row r="23" spans="1:2" x14ac:dyDescent="0.25">
      <c r="A23" t="s">
        <v>24</v>
      </c>
      <c r="B23" s="11">
        <v>131312000000</v>
      </c>
    </row>
    <row r="24" spans="1:2" x14ac:dyDescent="0.25">
      <c r="A24" t="s">
        <v>25</v>
      </c>
      <c r="B24" s="10">
        <f>B22/(B22+B23)</f>
        <v>0.36150281206765017</v>
      </c>
    </row>
    <row r="25" spans="1:2" x14ac:dyDescent="0.25">
      <c r="A25" t="s">
        <v>26</v>
      </c>
      <c r="B25" s="10">
        <f>1-B24</f>
        <v>0.6384971879323498</v>
      </c>
    </row>
    <row r="26" spans="1:2" x14ac:dyDescent="0.25">
      <c r="A26" t="s">
        <v>27</v>
      </c>
      <c r="B26" s="12">
        <f>B24*B20+B25*B21*(1-B8)</f>
        <v>0.06981092636369639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185019000000</v>
      </c>
      <c r="C29" s="8" t="s">
        <v>30</v>
      </c>
    </row>
    <row r="30" spans="1:2" x14ac:dyDescent="0.25">
      <c r="A30" t="s">
        <v>31</v>
      </c>
      <c r="B30" s="11">
        <v>103643000000</v>
      </c>
    </row>
    <row r="31" spans="1:2" x14ac:dyDescent="0.25">
      <c r="A31" t="s">
        <v>32</v>
      </c>
      <c r="B31" s="13">
        <v>973000000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0.05685834354915076</v>
      </c>
      <c r="C5" s="10">
        <f>Assumptions!B6</f>
        <v>0.05685834354915076</v>
      </c>
      <c r="D5" s="10">
        <f>Assumptions!B6</f>
        <v>0.05685834354915076</v>
      </c>
      <c r="E5" s="10">
        <f>Assumptions!B6</f>
        <v>0.05685834354915076</v>
      </c>
      <c r="F5" s="10">
        <f>Assumptions!B6</f>
        <v>0.05685834354915076</v>
      </c>
    </row>
    <row r="6" spans="1:6" x14ac:dyDescent="0.25">
      <c r="A6" t="s">
        <v>43</v>
      </c>
      <c r="B6" s="18">
        <f>Assumptions!B29*(1+B5)</f>
        <v>195538873865.12033</v>
      </c>
      <c r="C6" s="18">
        <f>B6*(1+C5)</f>
        <v>206656890332.5574</v>
      </c>
      <c r="D6" s="18">
        <f>C6*(1+D5)</f>
        <v>218407058799.88513</v>
      </c>
      <c r="E6" s="18">
        <f>D6*(1+E5)</f>
        <v>230825322382.68857</v>
      </c>
      <c r="F6" s="18">
        <f>E6*(1+F5)</f>
        <v>243949667862.56696</v>
      </c>
    </row>
    <row r="7" spans="1:6" x14ac:dyDescent="0.25">
      <c r="A7" t="s">
        <v>5</v>
      </c>
      <c r="B7" s="10">
        <f>Assumptions!B7</f>
        <v>0.05095958091335011</v>
      </c>
      <c r="C7" s="10">
        <f>Assumptions!B7</f>
        <v>0.05095958091335011</v>
      </c>
      <c r="D7" s="10">
        <f>Assumptions!B7</f>
        <v>0.05095958091335011</v>
      </c>
      <c r="E7" s="10">
        <f>Assumptions!B7</f>
        <v>0.05095958091335011</v>
      </c>
      <c r="F7" s="10">
        <f>Assumptions!B7</f>
        <v>0.05095958091335011</v>
      </c>
    </row>
    <row r="8" spans="1:6" x14ac:dyDescent="0.25">
      <c r="A8" t="s">
        <v>44</v>
      </c>
      <c r="B8" s="18">
        <f>B6*B7</f>
        <v>9964579064.43496</v>
      </c>
      <c r="C8" s="18">
        <f>C6*C7</f>
        <v>10531148524.20328</v>
      </c>
      <c r="D8" s="18">
        <f>D6*D7</f>
        <v>11129932184.95956</v>
      </c>
      <c r="E8" s="18">
        <f>E6*E7</f>
        <v>11762761692.810741</v>
      </c>
      <c r="F8" s="18">
        <f>F6*F7</f>
        <v>12431572838.227365</v>
      </c>
    </row>
    <row r="9" spans="1:6" x14ac:dyDescent="0.25">
      <c r="A9" t="s">
        <v>45</v>
      </c>
      <c r="B9" s="18">
        <f>B8*(1-Assumptions!B8)</f>
        <v>8613191199.134283</v>
      </c>
      <c r="C9" s="18">
        <f>C8*(1-Assumptions!B8)</f>
        <v>9102922983.389185</v>
      </c>
      <c r="D9" s="18">
        <f>D8*(1-Assumptions!B8)</f>
        <v>9620500105.680185</v>
      </c>
      <c r="E9" s="18">
        <f>E8*(1-Assumptions!B8)</f>
        <v>10167505805.80359</v>
      </c>
      <c r="F9" s="18">
        <f>F8*(1-Assumptions!B8)</f>
        <v>10745613343.947958</v>
      </c>
    </row>
    <row r="10" spans="1:6" x14ac:dyDescent="0.25">
      <c r="A10" t="s">
        <v>46</v>
      </c>
      <c r="B10" s="18">
        <f>B6*Assumptions!B9</f>
        <v>13988523891.258633</v>
      </c>
      <c r="C10" s="18">
        <f>C6*Assumptions!B9</f>
        <v>14783888188.413319</v>
      </c>
      <c r="D10" s="18">
        <f>D6*Assumptions!B9</f>
        <v>15624475582.022356</v>
      </c>
      <c r="E10" s="18">
        <f>E6*Assumptions!B9</f>
        <v>16512857382.4403</v>
      </c>
      <c r="F10" s="18">
        <f>F6*Assumptions!B9</f>
        <v>17451751100.46922</v>
      </c>
    </row>
    <row r="11" spans="1:6" x14ac:dyDescent="0.25">
      <c r="A11" t="s">
        <v>47</v>
      </c>
      <c r="B11" s="18">
        <f>-B6*Assumptions!B10</f>
        <v>-27048959501.158543</v>
      </c>
      <c r="C11" s="18">
        <f>-C6*Assumptions!B10</f>
        <v>-28586918533.122482</v>
      </c>
      <c r="D11" s="18">
        <f>-D6*Assumptions!B10</f>
        <v>-30212323368.090347</v>
      </c>
      <c r="E11" s="18">
        <f>-E6*Assumptions!B10</f>
        <v>-31930146029.571262</v>
      </c>
      <c r="F11" s="18">
        <f>-F6*Assumptions!B10</f>
        <v>-33745641242.095177</v>
      </c>
    </row>
    <row r="12" spans="1:6" x14ac:dyDescent="0.25">
      <c r="A12" t="s">
        <v>48</v>
      </c>
      <c r="B12" s="18">
        <f>-(B6-Assumptions!B29)*Assumptions!B11</f>
        <v>-1031082508.9595504</v>
      </c>
      <c r="C12" s="18">
        <f>-(C6-B6)*Assumptions!B11</f>
        <v>-1089708152.4814925</v>
      </c>
      <c r="D12" s="18">
        <f>-(D6-C6)*Assumptions!B11</f>
        <v>-1151667152.9835958</v>
      </c>
      <c r="E12" s="18">
        <f>-(E6-D6)*Assumptions!B11</f>
        <v>-1217149039.6222086</v>
      </c>
      <c r="F12" s="18">
        <f>-(F6-E6)*Assumptions!B11</f>
        <v>-1286354117.8675675</v>
      </c>
    </row>
    <row r="13" spans="1:6" x14ac:dyDescent="0.25">
      <c r="A13" s="19" t="s">
        <v>49</v>
      </c>
      <c r="B13" s="20">
        <f>B9+B10+B11+B12</f>
        <v>-5478326919.72518</v>
      </c>
      <c r="C13" s="20">
        <f>C9+C10+C11+C12</f>
        <v>-5789815513.80147</v>
      </c>
      <c r="D13" s="20">
        <f>D9+D10+D11+D12</f>
        <v>-6119014833.371402</v>
      </c>
      <c r="E13" s="20">
        <f>E9+E10+E11+E12</f>
        <v>-6466931880.949582</v>
      </c>
      <c r="F13" s="20">
        <f>F9+F10+F11+F12</f>
        <v>-6834630915.545568</v>
      </c>
    </row>
    <row r="14" spans="1:6" x14ac:dyDescent="0.25">
      <c r="A14" t="s">
        <v>50</v>
      </c>
      <c r="B14" s="21">
        <f>1/(1+Assumptions!$B$26)^(1-0.5*Assumptions!$B$32)</f>
        <v>0.9668219136302398</v>
      </c>
      <c r="C14" s="21">
        <f>1/(1+Assumptions!$B$26)^(2-0.5*Assumptions!$B$32)</f>
        <v>0.9037315751826188</v>
      </c>
      <c r="D14" s="21">
        <f>1/(1+Assumptions!$B$26)^(3-0.5*Assumptions!$B$32)</f>
        <v>0.8447582212068223</v>
      </c>
      <c r="E14" s="21">
        <f>1/(1+Assumptions!$B$26)^(4-0.5*Assumptions!$B$32)</f>
        <v>0.7896331962865328</v>
      </c>
      <c r="F14" s="21">
        <f>1/(1+Assumptions!$B$26)^(5-0.5*Assumptions!$B$32)</f>
        <v>0.7381053762186821</v>
      </c>
    </row>
    <row r="15" spans="1:6" x14ac:dyDescent="0.25">
      <c r="A15" s="19" t="s">
        <v>51</v>
      </c>
      <c r="B15" s="20">
        <f>B13*B14</f>
        <v>-5296566516.020756</v>
      </c>
      <c r="C15" s="20">
        <f>C13*C14</f>
        <v>-5232439094.304565</v>
      </c>
      <c r="D15" s="20">
        <f>D13*D14</f>
        <v>-5169088086.176986</v>
      </c>
      <c r="E15" s="20">
        <f>E13*E14</f>
        <v>-5106504091.321498</v>
      </c>
      <c r="F15" s="20">
        <f>F13*F14</f>
        <v>-5044677823.234597</v>
      </c>
    </row>
    <row r="17" spans="1:2" x14ac:dyDescent="0.25">
      <c r="A17" s="22" t="s">
        <v>52</v>
      </c>
      <c r="B17" s="23">
        <f>SUM(B15:F15)</f>
        <v>-25849275611.058403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-6834630915.545568</v>
      </c>
    </row>
    <row r="5" spans="1:2" x14ac:dyDescent="0.25">
      <c r="A5" t="s">
        <v>56</v>
      </c>
      <c r="B5" s="18">
        <f>IF(Assumptions!$B$33=0,B4,B4-Forecast!F11-Forecast!F10-Forecast!F12)</f>
        <v>10745613343.947958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0.3581101312100722</v>
      </c>
    </row>
    <row r="7" spans="1:2" x14ac:dyDescent="0.25">
      <c r="A7" t="s">
        <v>58</v>
      </c>
      <c r="B7" s="18">
        <f>-MAX(Forecast!F9,0)*B6</f>
        <v>-3848113004.5339055</v>
      </c>
    </row>
    <row r="8" spans="1:2" x14ac:dyDescent="0.25">
      <c r="A8" t="s">
        <v>59</v>
      </c>
      <c r="B8" s="18">
        <f>IF(OR(Assumptions!$B$33=0,Assumptions!B12&lt;=0),B5,MAX(B5+B7,0))</f>
        <v>6897500339.414053</v>
      </c>
    </row>
    <row r="9" spans="1:2" x14ac:dyDescent="0.25">
      <c r="A9" t="s">
        <v>60</v>
      </c>
      <c r="B9" s="18">
        <f>B8*(1+Assumptions!B12)/(Assumptions!B26-Assumptions!B12)</f>
        <v>157772633185.89014</v>
      </c>
    </row>
    <row r="10" spans="1:2" x14ac:dyDescent="0.25">
      <c r="A10" t="s">
        <v>61</v>
      </c>
      <c r="B10" s="18">
        <f>B9/(1+Assumptions!B26)^(5-0.5*Assumptions!B32)</f>
        <v>116452828774.68356</v>
      </c>
    </row>
    <row r="11" spans="1:2" x14ac:dyDescent="0.25">
      <c r="A11" t="s">
        <v>62</v>
      </c>
      <c r="B11" s="18">
        <f>Forecast!B17+B10</f>
        <v>90603553163.62515</v>
      </c>
    </row>
    <row r="12" spans="1:2" x14ac:dyDescent="0.25">
      <c r="A12" t="s">
        <v>63</v>
      </c>
      <c r="B12" s="18">
        <f>-Assumptions!B30</f>
        <v>-103643000000</v>
      </c>
    </row>
    <row r="13" spans="1:2" x14ac:dyDescent="0.25">
      <c r="A13" t="s">
        <v>64</v>
      </c>
      <c r="B13" s="18">
        <f>B11+B12</f>
        <v>-13039446836.374847</v>
      </c>
    </row>
    <row r="14" spans="1:2" x14ac:dyDescent="0.25">
      <c r="A14" s="19" t="s">
        <v>65</v>
      </c>
      <c r="B14" s="24">
        <f>B13/Assumptions!B31</f>
        <v>-13.401281435123174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29883323938.696587</v>
      </c>
    </row>
    <row r="18" spans="1:2" x14ac:dyDescent="0.25">
      <c r="A18" t="s">
        <v>60</v>
      </c>
      <c r="B18" s="18">
        <f>B17*Assumptions!B13</f>
        <v>303989277336.4503</v>
      </c>
    </row>
    <row r="19" spans="1:2" x14ac:dyDescent="0.25">
      <c r="A19" t="s">
        <v>61</v>
      </c>
      <c r="B19" s="18">
        <f>B18/(1+Assumptions!B26)^(5-0.5*Assumptions!B32)</f>
        <v>224376119914.86597</v>
      </c>
    </row>
    <row r="20" spans="1:2" x14ac:dyDescent="0.25">
      <c r="A20" t="s">
        <v>62</v>
      </c>
      <c r="B20" s="18">
        <f>Forecast!B17+B19</f>
        <v>198526844303.80756</v>
      </c>
    </row>
    <row r="21" spans="1:2" x14ac:dyDescent="0.25">
      <c r="A21" t="s">
        <v>63</v>
      </c>
      <c r="B21" s="18">
        <f>-Assumptions!B30</f>
        <v>-103643000000</v>
      </c>
    </row>
    <row r="22" spans="1:2" x14ac:dyDescent="0.25">
      <c r="A22" t="s">
        <v>64</v>
      </c>
      <c r="B22" s="18">
        <f>B20+B21</f>
        <v>94883844303.80756</v>
      </c>
    </row>
    <row r="23" spans="1:2" x14ac:dyDescent="0.25">
      <c r="A23" s="19" t="s">
        <v>65</v>
      </c>
      <c r="B23" s="25">
        <f>B22/Assumptions!B31</f>
        <v>97.51679784563983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82.2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-13.401281435123174</v>
      </c>
    </row>
    <row r="29" spans="1:2" x14ac:dyDescent="0.25">
      <c r="A29" s="19" t="s">
        <v>73</v>
      </c>
      <c r="B29" s="12">
        <f>B28/B26-1</f>
        <v>-1.1630326208652455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0.049811</v>
      </c>
      <c r="B5" s="31">
        <v>46.459131983310805</v>
      </c>
      <c r="C5" s="31">
        <v>47.34989684556757</v>
      </c>
      <c r="D5" s="31">
        <v>48.2406617078243</v>
      </c>
      <c r="E5" s="31">
        <v>49.131426570081</v>
      </c>
      <c r="F5" s="31">
        <v>50.02219143233773</v>
      </c>
    </row>
    <row r="6" spans="1:6" x14ac:dyDescent="0.25">
      <c r="A6" s="30">
        <v>0.059811</v>
      </c>
      <c r="B6" s="31">
        <v>10.590146394281275</v>
      </c>
      <c r="C6" s="31">
        <v>11.300998750283847</v>
      </c>
      <c r="D6" s="31">
        <v>12.011851106286358</v>
      </c>
      <c r="E6" s="31">
        <v>12.72270346228893</v>
      </c>
      <c r="F6" s="31">
        <v>13.43355581829147</v>
      </c>
    </row>
    <row r="7" spans="1:6" x14ac:dyDescent="0.25">
      <c r="A7" s="30">
        <v>0.069811</v>
      </c>
      <c r="B7" s="31">
        <v>-14.569090384453393</v>
      </c>
      <c r="C7" s="31">
        <v>-13.985265303006805</v>
      </c>
      <c r="D7" s="32">
        <v>-13.401440221560284</v>
      </c>
      <c r="E7" s="31">
        <v>-12.817615140113697</v>
      </c>
      <c r="F7" s="31">
        <v>-12.233790058667173</v>
      </c>
    </row>
    <row r="8" spans="1:6" x14ac:dyDescent="0.25">
      <c r="A8" s="30">
        <v>0.079811</v>
      </c>
      <c r="B8" s="31">
        <v>-33.06678643841598</v>
      </c>
      <c r="C8" s="31">
        <v>-32.577051872209196</v>
      </c>
      <c r="D8" s="31">
        <v>-32.08731730600244</v>
      </c>
      <c r="E8" s="31">
        <v>-31.597582739795648</v>
      </c>
      <c r="F8" s="31">
        <v>-31.10784817358889</v>
      </c>
    </row>
    <row r="9" spans="1:6" x14ac:dyDescent="0.25">
      <c r="A9" s="30">
        <v>0.089811</v>
      </c>
      <c r="B9" s="31">
        <v>-47.14679912123158</v>
      </c>
      <c r="C9" s="31">
        <v>-46.729277952714625</v>
      </c>
      <c r="D9" s="31">
        <v>-46.311756784197705</v>
      </c>
      <c r="E9" s="31">
        <v>-45.894235615680735</v>
      </c>
      <c r="F9" s="31">
        <v>-45.4767144471638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185019000000</v>
      </c>
      <c r="C5" s="18">
        <v>187442000000</v>
      </c>
      <c r="D5" s="18">
        <v>171842000000</v>
      </c>
      <c r="E5" s="18">
        <v>156735000000</v>
      </c>
      <c r="F5" s="8" t="s">
        <v>84</v>
      </c>
    </row>
    <row r="6" spans="1:6" x14ac:dyDescent="0.25">
      <c r="A6" t="s">
        <v>44</v>
      </c>
      <c r="B6" s="18">
        <v>2909000000</v>
      </c>
      <c r="C6" s="18">
        <v>12784000000</v>
      </c>
      <c r="D6" s="18">
        <v>9298000000</v>
      </c>
      <c r="E6" s="18">
        <v>10314000000</v>
      </c>
      <c r="F6" s="8" t="s">
        <v>85</v>
      </c>
    </row>
    <row r="7" spans="1:6" x14ac:dyDescent="0.25">
      <c r="A7" t="s">
        <v>86</v>
      </c>
      <c r="B7" s="18">
        <v>14588000000</v>
      </c>
      <c r="C7" s="18">
        <v>12389000000</v>
      </c>
      <c r="D7" s="18">
        <v>11888000000</v>
      </c>
      <c r="E7" s="18">
        <v>11290000000</v>
      </c>
      <c r="F7" s="8" t="s">
        <v>87</v>
      </c>
    </row>
    <row r="8" spans="1:6" x14ac:dyDescent="0.25">
      <c r="A8" t="s">
        <v>88</v>
      </c>
      <c r="B8" s="18">
        <v>25096000000</v>
      </c>
      <c r="C8" s="18">
        <v>26109000000</v>
      </c>
      <c r="D8" s="18">
        <v>24610000000</v>
      </c>
      <c r="E8" s="18">
        <v>21187000000</v>
      </c>
      <c r="F8" s="8" t="s">
        <v>89</v>
      </c>
    </row>
    <row r="9" spans="1:6" x14ac:dyDescent="0.25">
      <c r="A9" t="s">
        <v>90</v>
      </c>
      <c r="B9" s="18">
        <v>-9056000000</v>
      </c>
      <c r="C9" s="18">
        <v>1529000000</v>
      </c>
      <c r="D9" s="18">
        <v>-1822000000</v>
      </c>
      <c r="E9" s="18">
        <v>2977000000</v>
      </c>
      <c r="F9" s="8" t="s">
        <v>91</v>
      </c>
    </row>
    <row r="10" spans="1:6" x14ac:dyDescent="0.25">
      <c r="A10" t="s">
        <v>92</v>
      </c>
      <c r="B10" s="18">
        <v>131312000000</v>
      </c>
      <c r="C10" s="18">
        <v>130693000000</v>
      </c>
      <c r="D10" s="18">
        <v>122648000000</v>
      </c>
      <c r="E10" s="18">
        <v>115666000000</v>
      </c>
      <c r="F10" s="8" t="s">
        <v>93</v>
      </c>
    </row>
    <row r="11" spans="1:6" x14ac:dyDescent="0.25">
      <c r="A11" t="s">
        <v>94</v>
      </c>
      <c r="B11" s="18">
        <v>27669000000</v>
      </c>
      <c r="C11" s="18">
        <v>27137000000</v>
      </c>
      <c r="D11" s="18">
        <v>26466000000</v>
      </c>
      <c r="E11" s="18">
        <v>31303000000</v>
      </c>
      <c r="F11" s="8" t="s">
        <v>95</v>
      </c>
    </row>
    <row r="12" spans="1:6" x14ac:dyDescent="0.25">
      <c r="A12" t="s">
        <v>32</v>
      </c>
      <c r="B12" s="34">
        <v>973000000</v>
      </c>
      <c r="C12" s="34">
        <v>1129000000</v>
      </c>
      <c r="D12" s="34">
        <v>1369000000</v>
      </c>
      <c r="E12" s="34">
        <v>1454000000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2026-09-19T00:07:48Z</dcterms:modified>
</cp:coreProperties>
</file>