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<sst xmlns="http://schemas.openxmlformats.org/spreadsheetml/2006/main" count="121" uniqueCount="108">
  <si>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General Motors Company (GM)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</si>
  <si>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</si>
  <si>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</si>
  <si>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</si>
  <si>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</si>
  <si>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</si>
  <si>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</si>
  <si>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</si>
  <si>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</si>
  <si>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</si>
  <si>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</si>
  <si>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</si>
  <si>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</si>
  <si>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</si>
  <si>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</si>
  <si>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</si>
  <si>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</si>
  <si>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</si>
  <si>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</si>
  <si>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</si>
  <si>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</si>
  <si>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</si>
  <si>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</si>
  <si>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</si>
  <si>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4.0x interest cover. Book interest / average debt was lower, at 0.6%.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</si>
  <si>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</si>
  <si>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</si>
  <si>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</si>
  <si>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</si>
  <si>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</si>
  <si>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</si>
  <si>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</si>
  <si>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</si>
  <si>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</si>
  <si>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</si>
  <si>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</si>
  <si>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</si>
  <si>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</si>
  <si>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</si>
  <si>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</si>
  <si>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</si>
  <si>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</si>
  <si>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</si>
  <si>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</si>
  <si>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</si>
  <si>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</si>
  <si>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</si>
  <si>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</si>
  <si>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</si>
  <si>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</si>
  <si>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</si>
  <si>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</si>
  <si>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</si>
  <si>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</si>
  <si>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</si>
  <si>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</si>
  <si>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</si>
  <si>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</si>
  <si>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</si>
  <si>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</si>
  <si>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</si>
  <si>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</si>
  <si>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</si>
  <si>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</si>
  <si>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</si>
  <si>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</si>
  <si>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</si>
  <si>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</si>
  <si>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</si>
  <si>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</si>
  <si>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</si>
  <si>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</si>
  <si>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</si>
  <si>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</si>
  <si>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</si>
  <si>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</si>
  <si>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</si>
  <si>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</si>
  <si>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</si>
  <si>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</si>
  <si>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</si>
  <si>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</si>
  <si>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</si>
  <si>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</si>
  <si>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</si>
  <si>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</si>
  <si>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</si>
  <si>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</si>
  <si>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</si>
  <si>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</si>
  <si>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</si>
  <si>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</si>
  <si>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</si>
  <si>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</si>
  <si>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</si>
  <si>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</si>
  <si>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</si>
  <si>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</si>
  <si>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</si>
  <si>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</si>
  <si>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</si>
  <si>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</si>
  <si>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</si>
  <si>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</si>
  <si>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</si>
  <si>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</si>
  <si>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13.8% of revenue against depreciation of 7.2%.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</si>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</sst>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0.007074263021635607</v>
      </c>
    </row>
    <row r="7" spans="1:2" x14ac:dyDescent="0.25">
      <c r="A7" t="s">
        <v>4</v>
      </c>
      <c r="B7" s="5">
        <v>0.05095958091335011</v>
      </c>
    </row>
    <row r="8" spans="1:2" x14ac:dyDescent="0.25">
      <c r="A8" t="s">
        <v>5</v>
      </c>
      <c r="B8" s="5">
        <v>0.13561916229095677</v>
      </c>
    </row>
    <row r="9" spans="1:2" x14ac:dyDescent="0.25">
      <c r="A9" t="s">
        <v>6</v>
      </c>
      <c r="B9" s="5">
        <v>0.07153832695644805</v>
      </c>
    </row>
    <row r="10" spans="1:3" x14ac:dyDescent="0.25">
      <c r="A10" t="s">
        <v>7</v>
      </c>
      <c r="B10" s="5">
        <v>0.1383303430489044</v>
      </c>
      <c r="C10" s="6" t="s">
        <v>8</v>
      </c>
    </row>
    <row r="11" spans="1:2" x14ac:dyDescent="0.25">
      <c r="A11" t="s">
        <v>9</v>
      </c>
      <c r="B11" s="5">
        <v>0.2440412960300667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10.164348375150025</v>
      </c>
    </row>
    <row r="14" spans="1:3" x14ac:dyDescent="0.25">
      <c r="A14" t="s">
        <v>12</v>
      </c>
      <c r="B14" s="5">
        <v>0.06898041582058187</v>
      </c>
      <c r="C14" s="6" t="s">
        <v>13</v>
      </c>
    </row>
    <row r="15" spans="1:3" x14ac:dyDescent="0.25">
      <c r="A15" t="s">
        <v>14</v>
      </c>
      <c r="B15" s="5">
        <v>0.07153832695644805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1.2679999999999998</v>
      </c>
      <c r="C19" s="6" t="s">
        <v>21</v>
      </c>
    </row>
    <row r="20" spans="1:2" x14ac:dyDescent="0.25">
      <c r="A20" t="s">
        <v>22</v>
      </c>
      <c r="B20" s="9">
        <f>B17+B19*B18</f>
        <v>0.10257639999999998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74202603520</v>
      </c>
    </row>
    <row r="23" spans="1:2" x14ac:dyDescent="0.25">
      <c r="A23" t="s">
        <v>26</v>
      </c>
      <c r="B23" s="10">
        <v>131312000000</v>
      </c>
    </row>
    <row r="24" spans="1:2" x14ac:dyDescent="0.25">
      <c r="A24" t="s">
        <v>27</v>
      </c>
      <c r="B24" s="9">
        <f>B22/(B22+B23)</f>
        <v>0.3610575708444916</v>
      </c>
    </row>
    <row r="25" spans="1:2" x14ac:dyDescent="0.25">
      <c r="A25" t="s">
        <v>28</v>
      </c>
      <c r="B25" s="9">
        <f>1-B24</f>
        <v>0.6389424291555084</v>
      </c>
    </row>
    <row r="26" spans="1:2" x14ac:dyDescent="0.25">
      <c r="A26" t="s">
        <v>29</v>
      </c>
      <c r="B26" s="11">
        <f>B24*B20+B25*B21*(1-B8)</f>
        <v>0.06898041582058187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185019000000</v>
      </c>
      <c r="C29" s="6" t="s">
        <v>32</v>
      </c>
    </row>
    <row r="30" spans="1:2" x14ac:dyDescent="0.25">
      <c r="A30" t="s">
        <v>33</v>
      </c>
      <c r="B30" s="10">
        <v>103643000000</v>
      </c>
    </row>
    <row r="31" spans="1:2" x14ac:dyDescent="0.25">
      <c r="A31" t="s">
        <v>34</v>
      </c>
      <c r="B31" s="12">
        <v>973000000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0.007074263021635607</v>
      </c>
      <c r="C5" s="5">
        <v>0.01932257906817525</v>
      </c>
      <c r="D5" s="5">
        <v>0.020032256684653343</v>
      </c>
      <c r="E5" s="5">
        <v>0.020741934301131436</v>
      </c>
      <c r="F5" s="5">
        <v>0.021451611917609532</v>
      </c>
      <c r="G5" s="5">
        <v>0.022161289534087626</v>
      </c>
      <c r="H5" s="5">
        <v>0.02287096715056572</v>
      </c>
      <c r="I5" s="5">
        <v>0.023580644767043815</v>
      </c>
      <c r="J5" s="5">
        <v>0.02429032238352191</v>
      </c>
      <c r="K5" s="5">
        <v>0.025</v>
      </c>
    </row>
    <row r="6" spans="1:11" x14ac:dyDescent="0.25">
      <c r="A6" t="s">
        <v>50</v>
      </c>
      <c r="B6" s="18">
        <f>Assumptions!B29*(1+B5)</f>
        <v>186327873070</v>
      </c>
      <c r="C6" s="18">
        <f>B6*(1+C5)</f>
        <v>189928208130</v>
      </c>
      <c r="D6" s="18">
        <f>C6*(1+D5)</f>
        <v>193732898746.9164</v>
      </c>
      <c r="E6" s="18">
        <f>D6*(1+E5)</f>
        <v>197751293804.69272</v>
      </c>
      <c r="F6" s="18">
        <f>E6*(1+F5)</f>
        <v>201993377815.5962</v>
      </c>
      <c r="G6" s="18">
        <f>F6*(1+G5)</f>
        <v>206469811545.336</v>
      </c>
      <c r="H6" s="18">
        <f>G6*(1+H5)</f>
        <v>211191975822.7729</v>
      </c>
      <c r="I6" s="18">
        <f>H6*(1+I5)</f>
        <v>216172018782.29984</v>
      </c>
      <c r="J6" s="18">
        <f>I6*(1+J5)</f>
        <v>221422906808.81863</v>
      </c>
      <c r="K6" s="18">
        <f>J6*(1+K5)</f>
        <v>226958479479.0391</v>
      </c>
    </row>
    <row r="7" spans="1:11" x14ac:dyDescent="0.25">
      <c r="A7" t="s">
        <v>4</v>
      </c>
      <c r="B7" s="9">
        <f>Assumptions!B7</f>
        <v>0.05095958091335011</v>
      </c>
      <c r="C7" s="9">
        <f>Assumptions!B7</f>
        <v>0.05095958091335011</v>
      </c>
      <c r="D7" s="9">
        <f>Assumptions!B7</f>
        <v>0.05095958091335011</v>
      </c>
      <c r="E7" s="9">
        <f>Assumptions!B7</f>
        <v>0.05095958091335011</v>
      </c>
      <c r="F7" s="9">
        <f>Assumptions!B7</f>
        <v>0.05095958091335011</v>
      </c>
      <c r="G7" s="9">
        <f>Assumptions!B7</f>
        <v>0.05095958091335011</v>
      </c>
      <c r="H7" s="9">
        <f>Assumptions!B7</f>
        <v>0.05095958091335011</v>
      </c>
      <c r="I7" s="9">
        <f>Assumptions!B7</f>
        <v>0.05095958091335011</v>
      </c>
      <c r="J7" s="9">
        <f>Assumptions!B7</f>
        <v>0.05095958091335011</v>
      </c>
      <c r="K7" s="9">
        <f>Assumptions!B7</f>
        <v>0.05095958091335011</v>
      </c>
    </row>
    <row r="8" spans="1:11" x14ac:dyDescent="0.25">
      <c r="A8" t="s">
        <v>51</v>
      </c>
      <c r="B8" s="18">
        <f>B6*B7</f>
        <v>9495190324.123095</v>
      </c>
      <c r="C8" s="18">
        <f>C6*C7</f>
        <v>9678661889.928335</v>
      </c>
      <c r="D8" s="18">
        <f>D6*D7</f>
        <v>9872547329.27135</v>
      </c>
      <c r="E8" s="18">
        <f>E6*E7</f>
        <v>10077323057.35991</v>
      </c>
      <c r="F8" s="18">
        <f>F6*F7</f>
        <v>10293497880.754772</v>
      </c>
      <c r="G8" s="18">
        <f>G6*G7</f>
        <v>10521615067.608698</v>
      </c>
      <c r="H8" s="18">
        <f>H6*H7</f>
        <v>10762254580.190874</v>
      </c>
      <c r="I8" s="18">
        <f>I6*I7</f>
        <v>11016035482.338848</v>
      </c>
      <c r="J8" s="18">
        <f>J6*J7</f>
        <v>11283618535.593174</v>
      </c>
      <c r="K8" s="18">
        <f>K6*K7</f>
        <v>11565708998.983004</v>
      </c>
    </row>
    <row r="9" spans="1:11" x14ac:dyDescent="0.25">
      <c r="A9" t="s">
        <v>52</v>
      </c>
      <c r="B9" s="18">
        <f>B8*(1-Assumptions!B8)</f>
        <v>8207460566.572322</v>
      </c>
      <c r="C9" s="18">
        <f>C8*(1-Assumptions!B8)</f>
        <v>8366049872.318846</v>
      </c>
      <c r="D9" s="18">
        <f>D8*(1-Assumptions!B8)</f>
        <v>8533640730.797747</v>
      </c>
      <c r="E9" s="18">
        <f>E8*(1-Assumptions!B8)</f>
        <v>8710644946.185413</v>
      </c>
      <c r="F9" s="18">
        <f>F8*(1-Assumptions!B8)</f>
        <v>8897502321.12307</v>
      </c>
      <c r="G9" s="18">
        <f>G8*(1-Assumptions!B8)</f>
        <v>9094682446.191698</v>
      </c>
      <c r="H9" s="18">
        <f>H8*(1-Assumptions!B8)</f>
        <v>9302686629.663374</v>
      </c>
      <c r="I9" s="18">
        <f>I8*(1-Assumptions!B8)</f>
        <v>9522049978.456596</v>
      </c>
      <c r="J9" s="18">
        <f>J8*(1-Assumptions!B8)</f>
        <v>9753343642.185314</v>
      </c>
      <c r="K9" s="18">
        <f>K8*(1-Assumptions!B8)</f>
        <v>9997177233.239948</v>
      </c>
    </row>
    <row r="10" spans="1:11" x14ac:dyDescent="0.25">
      <c r="A10" t="s">
        <v>53</v>
      </c>
      <c r="B10" s="18">
        <f>B6*Assumptions!B9</f>
        <v>13329584304.78121</v>
      </c>
      <c r="C10" s="18">
        <f>C6*Assumptions!B9</f>
        <v>13587146251.456253</v>
      </c>
      <c r="D10" s="18">
        <f>D6*Assumptions!B9</f>
        <v>13859327452.77735</v>
      </c>
      <c r="E10" s="18">
        <f>E6*Assumptions!B9</f>
        <v>14146796712.260727</v>
      </c>
      <c r="F10" s="18">
        <f>F6*Assumptions!B9</f>
        <v>14450268305.20946</v>
      </c>
      <c r="G10" s="18">
        <f>G6*Assumptions!B9</f>
        <v>14770504884.966457</v>
      </c>
      <c r="H10" s="18">
        <f>H6*Assumptions!B9</f>
        <v>15108320616.987797</v>
      </c>
      <c r="I10" s="18">
        <f>I6*Assumptions!B9</f>
        <v>15464584558.483593</v>
      </c>
      <c r="J10" s="18">
        <f>J6*Assumptions!B9</f>
        <v>15840224302.936394</v>
      </c>
      <c r="K10" s="18">
        <f>K6*Assumptions!B9</f>
        <v>16236229910.509802</v>
      </c>
    </row>
    <row r="11" spans="1:11" x14ac:dyDescent="0.25">
      <c r="A11" t="s">
        <v>54</v>
      </c>
      <c r="B11" s="18">
        <f>-B6*B19</f>
        <v>-25774798601.345818</v>
      </c>
      <c r="C11" s="18">
        <f>-C6*C19</f>
        <v>-25200206422.567177</v>
      </c>
      <c r="D11" s="18">
        <f>-D6*D19</f>
        <v>-24610908508.74097</v>
      </c>
      <c r="E11" s="18">
        <f>-E6*E19</f>
        <v>-24004577378.996742</v>
      </c>
      <c r="F11" s="18">
        <f>-F6*F19</f>
        <v>-23378747927.29015</v>
      </c>
      <c r="G11" s="18">
        <f>-G6*G19</f>
        <v>-22730803946.236862</v>
      </c>
      <c r="H11" s="18">
        <f>-H6*H19</f>
        <v>-22057963606.968616</v>
      </c>
      <c r="I11" s="18">
        <f>-I6*I19</f>
        <v>-21357263793.625458</v>
      </c>
      <c r="J11" s="18">
        <f>-J6*J19</f>
        <v>-20625543181.924404</v>
      </c>
      <c r="K11" s="18">
        <f>-K6*K19</f>
        <v>-19859423941.132427</v>
      </c>
    </row>
    <row r="12" spans="1:11" x14ac:dyDescent="0.25">
      <c r="A12" t="s">
        <v>55</v>
      </c>
      <c r="B12" s="18">
        <f>-(B6-Assumptions!B29)*Assumptions!B11</f>
        <v>-319419080.3416522</v>
      </c>
      <c r="C12" s="18">
        <f>-(C6-B6)*Assumptions!B11</f>
        <v>-878630434.1848879</v>
      </c>
      <c r="D12" s="18">
        <f>-(D6-C6)*Assumptions!B11</f>
        <v>-928501629.1457152</v>
      </c>
      <c r="E12" s="18">
        <f>-(E6-D6)*Assumptions!B11</f>
        <v>-980654337.8605444</v>
      </c>
      <c r="F12" s="18">
        <f>-(F6-E6)*Assumptions!B11</f>
        <v>-1035243679.8893071</v>
      </c>
      <c r="G12" s="18">
        <f>-(G6-F6)*Assumptions!B11</f>
        <v>-1092434688.9984078</v>
      </c>
      <c r="H12" s="18">
        <f>-(H6-G6)*Assumptions!B11</f>
        <v>-1152403090.332582</v>
      </c>
      <c r="I12" s="18">
        <f>-(I6-H6)*Assumptions!B11</f>
        <v>-1215336138.128365</v>
      </c>
      <c r="J12" s="18">
        <f>-(J6-I6)*Assumptions!B11</f>
        <v>-1281433519.300407</v>
      </c>
      <c r="K12" s="18">
        <f>-(K6-J6)*Assumptions!B11</f>
        <v>-1350908328.7092178</v>
      </c>
    </row>
    <row r="13" spans="1:11" x14ac:dyDescent="0.25">
      <c r="A13" s="19" t="s">
        <v>56</v>
      </c>
      <c r="B13" s="20">
        <f>B9+B10+B11+B12</f>
        <v>-4557172810.333939</v>
      </c>
      <c r="C13" s="20">
        <f>C9+C10+C11+C12</f>
        <v>-4125640732.976964</v>
      </c>
      <c r="D13" s="20">
        <f>D9+D10+D11+D12</f>
        <v>-3146441954.3115897</v>
      </c>
      <c r="E13" s="20">
        <f>E9+E10+E11+E12</f>
        <v>-2127790058.4111464</v>
      </c>
      <c r="F13" s="20">
        <f>F9+F10+F11+F12</f>
        <v>-1066220980.8469297</v>
      </c>
      <c r="G13" s="20">
        <f>G9+G10+G11+G12</f>
        <v>41948695.922887325</v>
      </c>
      <c r="H13" s="20">
        <f>H9+H10+H11+H12</f>
        <v>1200640549.3499703</v>
      </c>
      <c r="I13" s="20">
        <f>I9+I10+I11+I12</f>
        <v>2414034605.1863666</v>
      </c>
      <c r="J13" s="20">
        <f>J9+J10+J11+J12</f>
        <v>3686591243.896897</v>
      </c>
      <c r="K13" s="20">
        <f>K9+K10+K11+K12</f>
        <v>5023074873.908103</v>
      </c>
    </row>
    <row r="14" spans="1:11" x14ac:dyDescent="0.25">
      <c r="A14" t="s">
        <v>57</v>
      </c>
      <c r="B14" s="21">
        <f>1/(1+Assumptions!$B$26)^(1-0.5*Assumptions!$B$32)</f>
        <v>0.9671974115736429</v>
      </c>
      <c r="C14" s="21">
        <f>1/(1+Assumptions!$B$26)^(2-0.5*Assumptions!$B$32)</f>
        <v>0.9047849682364789</v>
      </c>
      <c r="D14" s="21">
        <f>1/(1+Assumptions!$B$26)^(3-0.5*Assumptions!$B$32)</f>
        <v>0.8463999478811204</v>
      </c>
      <c r="E14" s="21">
        <f>1/(1+Assumptions!$B$26)^(4-0.5*Assumptions!$B$32)</f>
        <v>0.7917824642572129</v>
      </c>
      <c r="F14" s="21">
        <f>1/(1+Assumptions!$B$26)^(5-0.5*Assumptions!$B$32)</f>
        <v>0.7406894013576635</v>
      </c>
      <c r="G14" s="21">
        <f>1/(1+Assumptions!$B$26)^(6-0.5*Assumptions!$B$32)</f>
        <v>0.6928933312488124</v>
      </c>
      <c r="H14" s="21">
        <f>1/(1+Assumptions!$B$26)^(7-0.5*Assumptions!$B$32)</f>
        <v>0.6481815017321214</v>
      </c>
      <c r="I14" s="21">
        <f>1/(1+Assumptions!$B$26)^(8-0.5*Assumptions!$B$32)</f>
        <v>0.6063548893312116</v>
      </c>
      <c r="J14" s="21">
        <f>1/(1+Assumptions!$B$26)^(9-0.5*Assumptions!$B$32)</f>
        <v>0.5672273133888568</v>
      </c>
      <c r="K14" s="21">
        <f>1/(1+Assumptions!$B$26)^(10-0.5*Assumptions!$B$32)</f>
        <v>0.5306246073305617</v>
      </c>
    </row>
    <row r="15" spans="1:11" x14ac:dyDescent="0.25">
      <c r="A15" s="19" t="s">
        <v>58</v>
      </c>
      <c r="B15" s="20">
        <f>B13*B14</f>
        <v>-4407685746.24877</v>
      </c>
      <c r="C15" s="20">
        <f>C13*C14</f>
        <v>-3732817719.541686</v>
      </c>
      <c r="D15" s="20">
        <f>D13*D14</f>
        <v>-2663148306.1403003</v>
      </c>
      <c r="E15" s="20">
        <f>E13*E14</f>
        <v>-1684746855.8707764</v>
      </c>
      <c r="F15" s="20">
        <f>F13*F14</f>
        <v>-789738580.018493</v>
      </c>
      <c r="G15" s="20">
        <f>G13*G14</f>
        <v>29065971.659552872</v>
      </c>
      <c r="H15" s="20">
        <f>H13*H14</f>
        <v>778232994.318143</v>
      </c>
      <c r="I15" s="20">
        <f>I13*I14</f>
        <v>1463761685.8694944</v>
      </c>
      <c r="J15" s="20">
        <f>J13*J14</f>
        <v>2091135246.8385205</v>
      </c>
      <c r="K15" s="20">
        <f>K13*K14</f>
        <v>2665367132.559498</v>
      </c>
    </row>
    <row r="17" spans="1:2" x14ac:dyDescent="0.25">
      <c r="A17" s="22" t="s">
        <v>59</v>
      </c>
      <c r="B17" s="23">
        <f>SUM(B15:K15)</f>
        <v>-6250574176.574818</v>
      </c>
    </row>
    <row r="19" spans="1:11" x14ac:dyDescent="0.25">
      <c r="A19" t="s">
        <v>7</v>
      </c>
      <c r="B19" s="9">
        <f>Assumptions!$B$10+($B$20-Assumptions!$B$10)*0/9</f>
        <v>0.1383303430489044</v>
      </c>
      <c r="C19" s="9">
        <f>Assumptions!$B$10+($B$20-Assumptions!$B$10)*1/9</f>
        <v>0.13268279983623293</v>
      </c>
      <c r="D19" s="9">
        <f>Assumptions!$B$10+($B$20-Assumptions!$B$10)*2/9</f>
        <v>0.12703525662356144</v>
      </c>
      <c r="E19" s="9">
        <f>Assumptions!$B$10+($B$20-Assumptions!$B$10)*3/9</f>
        <v>0.12138771341088997</v>
      </c>
      <c r="F19" s="9">
        <f>Assumptions!$B$10+($B$20-Assumptions!$B$10)*4/9</f>
        <v>0.11574017019821847</v>
      </c>
      <c r="G19" s="9">
        <f>Assumptions!$B$10+($B$20-Assumptions!$B$10)*5/9</f>
        <v>0.110092626985547</v>
      </c>
      <c r="H19" s="9">
        <f>Assumptions!$B$10+($B$20-Assumptions!$B$10)*6/9</f>
        <v>0.10444508377287552</v>
      </c>
      <c r="I19" s="9">
        <f>Assumptions!$B$10+($B$20-Assumptions!$B$10)*7/9</f>
        <v>0.09879754056020404</v>
      </c>
      <c r="J19" s="9">
        <f>Assumptions!$B$10+($B$20-Assumptions!$B$10)*8/9</f>
        <v>0.09314999734753256</v>
      </c>
      <c r="K19" s="9">
        <f>Assumptions!$B$10+($B$20-Assumptions!$B$10)*9/9</f>
        <v>0.08750245413486107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0.08750245413486107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5023074873.908103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9997177233.239948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0.3624217062568168</v>
      </c>
    </row>
    <row r="7" spans="1:2" x14ac:dyDescent="0.25">
      <c r="A7" t="s">
        <v>66</v>
      </c>
      <c r="B7" s="18">
        <f>-MAX(B5,0)*B6</f>
        <v>-3623194030.622625</v>
      </c>
    </row>
    <row r="8" spans="1:2" x14ac:dyDescent="0.25">
      <c r="A8" t="s">
        <v>67</v>
      </c>
      <c r="B8" s="18">
        <f>IF(OR(Assumptions!$B$33=0,Assumptions!B12&lt;=0),B5,MAX(B5+B7,0))</f>
        <v>6373983202.617323</v>
      </c>
    </row>
    <row r="9" spans="1:2" x14ac:dyDescent="0.25">
      <c r="A9" t="s">
        <v>68</v>
      </c>
      <c r="B9" s="18">
        <f>B8*(1+Assumptions!B12)/(Assumptions!B26-Assumptions!B12)</f>
        <v>148550955255.52762</v>
      </c>
    </row>
    <row r="10" spans="1:2" x14ac:dyDescent="0.25">
      <c r="A10" t="s">
        <v>69</v>
      </c>
      <c r="B10" s="18">
        <f>B9/(1+Assumptions!B26)^(10-0.5*Assumptions!B32)</f>
        <v>78824792301.04419</v>
      </c>
    </row>
    <row r="11" spans="1:2" x14ac:dyDescent="0.25">
      <c r="A11" t="s">
        <v>70</v>
      </c>
      <c r="B11" s="18">
        <f>Forecast!B17+B10</f>
        <v>72574218124.46938</v>
      </c>
    </row>
    <row r="12" spans="1:2" x14ac:dyDescent="0.25">
      <c r="A12" t="s">
        <v>71</v>
      </c>
      <c r="B12" s="18">
        <f>-Assumptions!B30</f>
        <v>-103643000000</v>
      </c>
    </row>
    <row r="13" spans="1:2" x14ac:dyDescent="0.25">
      <c r="A13" t="s">
        <v>72</v>
      </c>
      <c r="B13" s="18">
        <f>B11+B12</f>
        <v>-31068781875.530624</v>
      </c>
    </row>
    <row r="14" spans="1:2" x14ac:dyDescent="0.25">
      <c r="A14" s="19" t="s">
        <v>73</v>
      </c>
      <c r="B14" s="24">
        <f>B13/Assumptions!B31</f>
        <v>-31.93091662438913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27801938909.492805</v>
      </c>
    </row>
    <row r="18" spans="1:2" x14ac:dyDescent="0.25">
      <c r="A18" t="s">
        <v>68</v>
      </c>
      <c r="B18" s="18">
        <f>B17*Assumptions!B13</f>
        <v>282588592580.72345</v>
      </c>
    </row>
    <row r="19" spans="1:2" x14ac:dyDescent="0.25">
      <c r="A19" t="s">
        <v>69</v>
      </c>
      <c r="B19" s="18">
        <f>B18/(1+Assumptions!B26)^(10-0.5*Assumptions!B32)</f>
        <v>149948460974.24246</v>
      </c>
    </row>
    <row r="20" spans="1:2" x14ac:dyDescent="0.25">
      <c r="A20" t="s">
        <v>70</v>
      </c>
      <c r="B20" s="18">
        <f>Forecast!B17+B19</f>
        <v>143697886797.66763</v>
      </c>
    </row>
    <row r="21" spans="1:2" x14ac:dyDescent="0.25">
      <c r="A21" t="s">
        <v>71</v>
      </c>
      <c r="B21" s="18">
        <f>-Assumptions!B30</f>
        <v>-103643000000</v>
      </c>
    </row>
    <row r="22" spans="1:2" x14ac:dyDescent="0.25">
      <c r="A22" t="s">
        <v>72</v>
      </c>
      <c r="B22" s="18">
        <f>B20+B21</f>
        <v>40054886797.66763</v>
      </c>
    </row>
    <row r="23" spans="1:2" x14ac:dyDescent="0.25">
      <c r="A23" s="19" t="s">
        <v>73</v>
      </c>
      <c r="B23" s="25">
        <f>B22/Assumptions!B31</f>
        <v>41.16637903151864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87.4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-31.93091662438913</v>
      </c>
    </row>
    <row r="29" spans="1:2" x14ac:dyDescent="0.25">
      <c r="A29" s="19" t="s">
        <v>81</v>
      </c>
      <c r="B29" s="11">
        <f>B28/B26-1</f>
        <v>-1.36534229547356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0.04898</v>
      </c>
      <c r="B5" s="31">
        <v>24.9719233670813</v>
      </c>
      <c r="C5" s="31">
        <v>22.079406006937997</v>
      </c>
      <c r="D5" s="31">
        <v>19.186888646794678</v>
      </c>
      <c r="E5" s="31">
        <v>16.294371286651344</v>
      </c>
      <c r="F5" s="31">
        <v>13.40185392650801</v>
      </c>
    </row>
    <row r="6" spans="1:6" x14ac:dyDescent="0.25">
      <c r="A6" s="30">
        <v>0.05898</v>
      </c>
      <c r="B6" s="31">
        <v>-6.456918463024033</v>
      </c>
      <c r="C6" s="31">
        <v>-8.725075679207594</v>
      </c>
      <c r="D6" s="31">
        <v>-10.993232895391214</v>
      </c>
      <c r="E6" s="31">
        <v>-13.261390111574775</v>
      </c>
      <c r="F6" s="31">
        <v>-15.52954732775835</v>
      </c>
    </row>
    <row r="7" spans="1:6" x14ac:dyDescent="0.25">
      <c r="A7" s="30">
        <v>0.06898</v>
      </c>
      <c r="B7" s="31">
        <v>-28.26447373806487</v>
      </c>
      <c r="C7" s="31">
        <v>-30.097327823335213</v>
      </c>
      <c r="D7" s="32">
        <v>-31.930181908605608</v>
      </c>
      <c r="E7" s="31">
        <v>-33.763035993875974</v>
      </c>
      <c r="F7" s="31">
        <v>-35.59589007914635</v>
      </c>
    </row>
    <row r="8" spans="1:6" x14ac:dyDescent="0.25">
      <c r="A8" s="30">
        <v>0.07898</v>
      </c>
      <c r="B8" s="31">
        <v>-44.14183876086799</v>
      </c>
      <c r="C8" s="31">
        <v>-45.656061654578295</v>
      </c>
      <c r="D8" s="31">
        <v>-47.17028454828862</v>
      </c>
      <c r="E8" s="31">
        <v>-48.6845074419989</v>
      </c>
      <c r="F8" s="31">
        <v>-50.19873033570922</v>
      </c>
    </row>
    <row r="9" spans="1:6" x14ac:dyDescent="0.25">
      <c r="A9" s="30">
        <v>0.08898</v>
      </c>
      <c r="B9" s="31">
        <v>-56.11776387920253</v>
      </c>
      <c r="C9" s="31">
        <v>-57.39022915075859</v>
      </c>
      <c r="D9" s="31">
        <v>-58.66269442231468</v>
      </c>
      <c r="E9" s="31">
        <v>-59.93515969387076</v>
      </c>
      <c r="F9" s="31">
        <v>-61.20762496542683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185019000000</v>
      </c>
      <c r="C5" s="18">
        <v>187442000000</v>
      </c>
      <c r="D5" s="18">
        <v>171842000000</v>
      </c>
      <c r="E5" s="18">
        <v>156735000000</v>
      </c>
      <c r="F5" s="6" t="s">
        <v>91</v>
      </c>
    </row>
    <row r="6" spans="1:6" x14ac:dyDescent="0.25">
      <c r="A6" t="s">
        <v>51</v>
      </c>
      <c r="B6" s="18">
        <v>2909000000</v>
      </c>
      <c r="C6" s="18">
        <v>12784000000</v>
      </c>
      <c r="D6" s="18">
        <v>9298000000</v>
      </c>
      <c r="E6" s="18">
        <v>10314000000</v>
      </c>
      <c r="F6" s="6" t="s">
        <v>92</v>
      </c>
    </row>
    <row r="7" spans="1:6" x14ac:dyDescent="0.25">
      <c r="A7" t="s">
        <v>93</v>
      </c>
      <c r="B7" s="18">
        <v>14588000000</v>
      </c>
      <c r="C7" s="18">
        <v>12389000000</v>
      </c>
      <c r="D7" s="18">
        <v>11888000000</v>
      </c>
      <c r="E7" s="18">
        <v>11290000000</v>
      </c>
      <c r="F7" s="6" t="s">
        <v>94</v>
      </c>
    </row>
    <row r="8" spans="1:6" x14ac:dyDescent="0.25">
      <c r="A8" t="s">
        <v>95</v>
      </c>
      <c r="B8" s="18">
        <v>25096000000</v>
      </c>
      <c r="C8" s="18">
        <v>26109000000</v>
      </c>
      <c r="D8" s="18">
        <v>24610000000</v>
      </c>
      <c r="E8" s="18">
        <v>21187000000</v>
      </c>
      <c r="F8" s="6" t="s">
        <v>96</v>
      </c>
    </row>
    <row r="9" spans="1:6" x14ac:dyDescent="0.25">
      <c r="A9" t="s">
        <v>97</v>
      </c>
      <c r="B9" s="18">
        <v>-9056000000</v>
      </c>
      <c r="C9" s="18">
        <v>1529000000</v>
      </c>
      <c r="D9" s="18">
        <v>-1822000000</v>
      </c>
      <c r="E9" s="18">
        <v>2977000000</v>
      </c>
      <c r="F9" s="6" t="s">
        <v>98</v>
      </c>
    </row>
    <row r="10" spans="1:6" x14ac:dyDescent="0.25">
      <c r="A10" t="s">
        <v>99</v>
      </c>
      <c r="B10" s="18">
        <v>131312000000</v>
      </c>
      <c r="C10" s="18">
        <v>130693000000</v>
      </c>
      <c r="D10" s="18">
        <v>122648000000</v>
      </c>
      <c r="E10" s="18">
        <v>115666000000</v>
      </c>
      <c r="F10" s="6" t="s">
        <v>100</v>
      </c>
    </row>
    <row r="11" spans="1:6" x14ac:dyDescent="0.25">
      <c r="A11" t="s">
        <v>101</v>
      </c>
      <c r="B11" s="18">
        <v>27669000000</v>
      </c>
      <c r="C11" s="18">
        <v>27137000000</v>
      </c>
      <c r="D11" s="18">
        <v>26466000000</v>
      </c>
      <c r="E11" s="18">
        <v>31303000000</v>
      </c>
      <c r="F11" s="6" t="s">
        <v>102</v>
      </c>
    </row>
    <row r="12" spans="1:6" x14ac:dyDescent="0.25">
      <c r="A12" t="s">
        <v>34</v>
      </c>
      <c r="B12" s="34">
        <v>973000000</v>
      </c>
      <c r="C12" s="34">
        <v>1129000000</v>
      </c>
      <c r="D12" s="34">
        <v>1369000000</v>
      </c>
      <c r="E12" s="34">
        <v>1454000000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