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<sst xmlns="http://schemas.openxmlformats.org/spreadsheetml/2006/main" count="114" uniqueCount="102">
  <si>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Genesis Minerals Limited (GMD.AX)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</si>
  <si>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</si>
  <si>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</si>
  <si>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</si>
  <si>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</si>
  <si>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</si>
  <si>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</si>
  <si>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</si>
  <si>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</si>
  <si>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</si>
  <si>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</si>
  <si>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</si>
  <si>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</si>
  <si>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</si>
  <si>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</si>
  <si>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</si>
  <si>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</si>
  <si>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</si>
  <si>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</si>
  <si>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</si>
  <si>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</si>
  <si>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</si>
  <si>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</si>
  <si>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</si>
  <si>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</si>
  <si>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</si>
  <si>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</si>
  <si>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</si>
  <si>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</si>
  <si>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</si>
  <si>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</si>
  <si>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</si>
  <si>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</si>
  <si>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</si>
  <si>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</si>
  <si>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</si>
  <si>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</si>
  <si>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</si>
  <si>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</si>
  <si>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</si>
  <si>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</si>
  <si>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</si>
  <si>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</si>
  <si>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</si>
  <si>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</si>
  <si>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</si>
  <si>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</si>
  <si>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</si>
  <si>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</si>
  <si>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</si>
  <si>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</si>
  <si>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</si>
  <si>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</si>
  <si>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</si>
  <si>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</si>
  <si>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</si>
  <si>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</si>
  <si>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</si>
  <si>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</si>
  <si>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</si>
  <si>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</si>
  <si>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</si>
  <si>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</si>
  <si>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</si>
  <si>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</si>
  <si>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</si>
  <si>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</si>
  <si>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</si>
  <si>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</si>
  <si>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</si>
  <si>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</si>
  <si>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</si>
  <si>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</si>
  <si>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</si>
  <si>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</si>
  <si>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</si>
  <si>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</si>
  <si>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</si>
  <si>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</si>
  <si>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</si>
  <si>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</si>
  <si>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</si>
  <si>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</si>
  <si>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</si>
  <si>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</si>
  <si>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</si>
  <si>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</si>
  <si>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</si>
  <si>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</si>
  <si>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</si>
  <si>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</si>
  <si>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</si>
  <si>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</si>
  <si>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</si>
  <si>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</si>
  <si>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</si>
  <si>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</si>
  <si>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</si>
  <si>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</si>
  <si>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</si>
  <si>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22.0% of revenue against depreciation of 10.6%.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</si>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</sst>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0.016962603748126914</v>
      </c>
    </row>
    <row r="8" spans="1:2" x14ac:dyDescent="0.25">
      <c r="A8" t="s">
        <v>6</v>
      </c>
      <c r="B8" s="6">
        <v>0.2630719558530308</v>
      </c>
    </row>
    <row r="9" spans="1:2" x14ac:dyDescent="0.25">
      <c r="A9" t="s">
        <v>7</v>
      </c>
      <c r="B9" s="6">
        <v>0.10566183424105094</v>
      </c>
    </row>
    <row r="10" spans="1:2" x14ac:dyDescent="0.25">
      <c r="A10" t="s">
        <v>8</v>
      </c>
      <c r="B10" s="6">
        <v>0.22010341043767356</v>
      </c>
    </row>
    <row r="11" spans="1:2" x14ac:dyDescent="0.25">
      <c r="A11" t="s">
        <v>9</v>
      </c>
      <c r="B11" s="6">
        <v>0.002873102342172939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9.16284864717594</v>
      </c>
    </row>
    <row r="14" spans="1:3" x14ac:dyDescent="0.25">
      <c r="A14" t="s">
        <v>12</v>
      </c>
      <c r="B14" s="6">
        <v>0.16232819933045103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1.17822</v>
      </c>
      <c r="C19" s="8" t="s">
        <v>19</v>
      </c>
    </row>
    <row r="20" spans="1:2" x14ac:dyDescent="0.25">
      <c r="A20" t="s">
        <v>20</v>
      </c>
      <c r="B20" s="10">
        <f>B17+B19*B18</f>
        <v>0.1241732</v>
      </c>
    </row>
    <row r="21" spans="1:3" x14ac:dyDescent="0.25">
      <c r="A21" t="s">
        <v>21</v>
      </c>
      <c r="B21" s="6">
        <v>0.07126833819705</v>
      </c>
      <c r="C21" s="8" t="s">
        <v>22</v>
      </c>
    </row>
    <row r="22" spans="1:2" x14ac:dyDescent="0.25">
      <c r="A22" t="s">
        <v>23</v>
      </c>
      <c r="B22" s="11">
        <v>8929598464</v>
      </c>
    </row>
    <row r="23" spans="1:2" x14ac:dyDescent="0.25">
      <c r="A23" t="s">
        <v>24</v>
      </c>
      <c r="B23" s="11">
        <v>302843000</v>
      </c>
    </row>
    <row r="24" spans="1:2" x14ac:dyDescent="0.25">
      <c r="A24" t="s">
        <v>25</v>
      </c>
      <c r="B24" s="10">
        <f>B22/(B22+B23)</f>
        <v>0.9671979507066605</v>
      </c>
    </row>
    <row r="25" spans="1:2" x14ac:dyDescent="0.25">
      <c r="A25" t="s">
        <v>26</v>
      </c>
      <c r="B25" s="10">
        <f>1-B24</f>
        <v>0.03280204929333952</v>
      </c>
    </row>
    <row r="26" spans="1:2" x14ac:dyDescent="0.25">
      <c r="A26" t="s">
        <v>27</v>
      </c>
      <c r="B26" s="12">
        <f>B24*B20+B25*B21*(1-B8)</f>
        <v>0.1218228162969615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1742346000</v>
      </c>
      <c r="C29" s="8" t="s">
        <v>30</v>
      </c>
    </row>
    <row r="30" spans="1:2" x14ac:dyDescent="0.25">
      <c r="A30" t="s">
        <v>31</v>
      </c>
      <c r="B30" s="11">
        <v>-185492000</v>
      </c>
    </row>
    <row r="31" spans="1:2" x14ac:dyDescent="0.25">
      <c r="A31" t="s">
        <v>32</v>
      </c>
      <c r="B31" s="13">
        <v>1129011257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2613519000</v>
      </c>
      <c r="C6" s="18">
        <f>B6*(1+C5)</f>
        <v>3920278500</v>
      </c>
      <c r="D6" s="18">
        <f>C6*(1+D5)</f>
        <v>5880417750</v>
      </c>
      <c r="E6" s="18">
        <f>D6*(1+E5)</f>
        <v>8820626625</v>
      </c>
      <c r="F6" s="18">
        <f>E6*(1+F5)</f>
        <v>13230939937.5</v>
      </c>
    </row>
    <row r="7" spans="1:6" x14ac:dyDescent="0.25">
      <c r="A7" t="s">
        <v>5</v>
      </c>
      <c r="B7" s="10">
        <f>Assumptions!B7</f>
        <v>0.016962603748126914</v>
      </c>
      <c r="C7" s="10">
        <f>Assumptions!B7</f>
        <v>0.016962603748126914</v>
      </c>
      <c r="D7" s="10">
        <f>Assumptions!B7</f>
        <v>0.016962603748126914</v>
      </c>
      <c r="E7" s="10">
        <f>Assumptions!B7</f>
        <v>0.016962603748126914</v>
      </c>
      <c r="F7" s="10">
        <f>Assumptions!B7</f>
        <v>0.016962603748126914</v>
      </c>
    </row>
    <row r="8" spans="1:6" x14ac:dyDescent="0.25">
      <c r="A8" t="s">
        <v>44</v>
      </c>
      <c r="B8" s="18">
        <f>B6*B7</f>
        <v>44332087.18520091</v>
      </c>
      <c r="C8" s="18">
        <f>C6*C7</f>
        <v>66498130.77780136</v>
      </c>
      <c r="D8" s="18">
        <f>D6*D7</f>
        <v>99747196.16670203</v>
      </c>
      <c r="E8" s="18">
        <f>E6*E7</f>
        <v>149620794.25005305</v>
      </c>
      <c r="F8" s="18">
        <f>F6*F7</f>
        <v>224431191.37507957</v>
      </c>
    </row>
    <row r="9" spans="1:6" x14ac:dyDescent="0.25">
      <c r="A9" t="s">
        <v>45</v>
      </c>
      <c r="B9" s="18">
        <f>B8*(1-Assumptions!B8)</f>
        <v>32669558.302343022</v>
      </c>
      <c r="C9" s="18">
        <f>C8*(1-Assumptions!B8)</f>
        <v>49004337.45351453</v>
      </c>
      <c r="D9" s="18">
        <f>D8*(1-Assumptions!B8)</f>
        <v>73506506.18027179</v>
      </c>
      <c r="E9" s="18">
        <f>E8*(1-Assumptions!B8)</f>
        <v>110259759.27040769</v>
      </c>
      <c r="F9" s="18">
        <f>F8*(1-Assumptions!B8)</f>
        <v>165389638.90561154</v>
      </c>
    </row>
    <row r="10" spans="1:6" x14ac:dyDescent="0.25">
      <c r="A10" t="s">
        <v>46</v>
      </c>
      <c r="B10" s="18">
        <f>B6*Assumptions!B9</f>
        <v>276149211.3638372</v>
      </c>
      <c r="C10" s="18">
        <f>C6*Assumptions!B9</f>
        <v>414223817.0457558</v>
      </c>
      <c r="D10" s="18">
        <f>D6*Assumptions!B9</f>
        <v>621335725.5686337</v>
      </c>
      <c r="E10" s="18">
        <f>E6*Assumptions!B9</f>
        <v>932003588.3529506</v>
      </c>
      <c r="F10" s="18">
        <f>F6*Assumptions!B9</f>
        <v>1398005382.5294259</v>
      </c>
    </row>
    <row r="11" spans="1:6" x14ac:dyDescent="0.25">
      <c r="A11" t="s">
        <v>47</v>
      </c>
      <c r="B11" s="18">
        <f>-B6*Assumptions!B10</f>
        <v>-575244445.1436582</v>
      </c>
      <c r="C11" s="18">
        <f>-C6*Assumptions!B10</f>
        <v>-862866667.7154872</v>
      </c>
      <c r="D11" s="18">
        <f>-D6*Assumptions!B10</f>
        <v>-1294300001.573231</v>
      </c>
      <c r="E11" s="18">
        <f>-E6*Assumptions!B10</f>
        <v>-1941450002.3598464</v>
      </c>
      <c r="F11" s="18">
        <f>-F6*Assumptions!B10</f>
        <v>-2912175003.5397696</v>
      </c>
    </row>
    <row r="12" spans="1:6" x14ac:dyDescent="0.25">
      <c r="A12" t="s">
        <v>48</v>
      </c>
      <c r="B12" s="18">
        <f>-(B6-Assumptions!B29)*Assumptions!B11</f>
        <v>-2502969.1867378256</v>
      </c>
      <c r="C12" s="18">
        <f>-(C6-B6)*Assumptions!B11</f>
        <v>-3754453.7801067387</v>
      </c>
      <c r="D12" s="18">
        <f>-(D6-C6)*Assumptions!B11</f>
        <v>-5631680.670160108</v>
      </c>
      <c r="E12" s="18">
        <f>-(E6-D6)*Assumptions!B11</f>
        <v>-8447521.005240163</v>
      </c>
      <c r="F12" s="18">
        <f>-(F6-E6)*Assumptions!B11</f>
        <v>-12671281.507860243</v>
      </c>
    </row>
    <row r="13" spans="1:6" x14ac:dyDescent="0.25">
      <c r="A13" s="19" t="s">
        <v>49</v>
      </c>
      <c r="B13" s="20">
        <f>B9+B10+B11+B12</f>
        <v>-268928644.6642158</v>
      </c>
      <c r="C13" s="20">
        <f>C9+C10+C11+C12</f>
        <v>-403392966.99632365</v>
      </c>
      <c r="D13" s="20">
        <f>D9+D10+D11+D12</f>
        <v>-605089450.4944856</v>
      </c>
      <c r="E13" s="20">
        <f>E9+E10+E11+E12</f>
        <v>-907634175.7417283</v>
      </c>
      <c r="F13" s="20">
        <f>F9+F10+F11+F12</f>
        <v>-1361451263.6125925</v>
      </c>
    </row>
    <row r="14" spans="1:6" x14ac:dyDescent="0.25">
      <c r="A14" t="s">
        <v>50</v>
      </c>
      <c r="B14" s="21">
        <f>1/(1+Assumptions!$B$26)^(1-0.5*Assumptions!$B$32)</f>
        <v>0.9441431914840609</v>
      </c>
      <c r="C14" s="21">
        <f>1/(1+Assumptions!$B$26)^(2-0.5*Assumptions!$B$32)</f>
        <v>0.8416152513287211</v>
      </c>
      <c r="D14" s="21">
        <f>1/(1+Assumptions!$B$26)^(3-0.5*Assumptions!$B$32)</f>
        <v>0.7502211927787483</v>
      </c>
      <c r="E14" s="21">
        <f>1/(1+Assumptions!$B$26)^(4-0.5*Assumptions!$B$32)</f>
        <v>0.6687519471703762</v>
      </c>
      <c r="F14" s="21">
        <f>1/(1+Assumptions!$B$26)^(5-0.5*Assumptions!$B$32)</f>
        <v>0.5961297429997615</v>
      </c>
    </row>
    <row r="15" spans="1:6" x14ac:dyDescent="0.25">
      <c r="A15" s="19" t="s">
        <v>51</v>
      </c>
      <c r="B15" s="20">
        <f>B13*B14</f>
        <v>-253907148.85475567</v>
      </c>
      <c r="C15" s="20">
        <f>C13*C14</f>
        <v>-339501673.3028494</v>
      </c>
      <c r="D15" s="20">
        <f>D13*D14</f>
        <v>-453950929.2878104</v>
      </c>
      <c r="E15" s="20">
        <f>E13*E14</f>
        <v>-606982122.3456602</v>
      </c>
      <c r="F15" s="20">
        <f>F13*F14</f>
        <v>-811601591.8840753</v>
      </c>
    </row>
    <row r="17" spans="1:2" x14ac:dyDescent="0.25">
      <c r="A17" s="22" t="s">
        <v>52</v>
      </c>
      <c r="B17" s="23">
        <f>SUM(B15:F15)</f>
        <v>-2465943465.675151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-1361451263.6125925</v>
      </c>
    </row>
    <row r="5" spans="1:2" x14ac:dyDescent="0.25">
      <c r="A5" t="s">
        <v>56</v>
      </c>
      <c r="B5" s="18">
        <f>IF(Assumptions!$B$33=0,B4,B4-Forecast!F11-Forecast!F10-Forecast!F12)</f>
        <v>165389638.90561154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0.1540089775104791</v>
      </c>
    </row>
    <row r="7" spans="1:2" x14ac:dyDescent="0.25">
      <c r="A7" t="s">
        <v>58</v>
      </c>
      <c r="B7" s="18">
        <f>-MAX(Forecast!F9,0)*B6</f>
        <v>-25471489.178680588</v>
      </c>
    </row>
    <row r="8" spans="1:2" x14ac:dyDescent="0.25">
      <c r="A8" t="s">
        <v>59</v>
      </c>
      <c r="B8" s="18">
        <f>IF(OR(Assumptions!$B$33=0,Assumptions!B12&lt;=0),B5,MAX(B5+B7,0))</f>
        <v>139918149.72693095</v>
      </c>
    </row>
    <row r="9" spans="1:2" x14ac:dyDescent="0.25">
      <c r="A9" t="s">
        <v>60</v>
      </c>
      <c r="B9" s="18">
        <f>B8*(1+Assumptions!B12)/(Assumptions!B26-Assumptions!B12)</f>
        <v>1481222184.5544987</v>
      </c>
    </row>
    <row r="10" spans="1:2" x14ac:dyDescent="0.25">
      <c r="A10" t="s">
        <v>61</v>
      </c>
      <c r="B10" s="18">
        <f>B9/(1+Assumptions!B26)^(5-0.5*Assumptions!B32)</f>
        <v>883000600.2040186</v>
      </c>
    </row>
    <row r="11" spans="1:2" x14ac:dyDescent="0.25">
      <c r="A11" t="s">
        <v>62</v>
      </c>
      <c r="B11" s="18">
        <f>Forecast!B17+B10</f>
        <v>-1582942865.4711323</v>
      </c>
    </row>
    <row r="12" spans="1:2" x14ac:dyDescent="0.25">
      <c r="A12" t="s">
        <v>63</v>
      </c>
      <c r="B12" s="18">
        <f>-Assumptions!B30</f>
        <v>185492000</v>
      </c>
    </row>
    <row r="13" spans="1:2" x14ac:dyDescent="0.25">
      <c r="A13" t="s">
        <v>64</v>
      </c>
      <c r="B13" s="18">
        <f>B11+B12</f>
        <v>-1397450865.4711323</v>
      </c>
    </row>
    <row r="14" spans="1:2" x14ac:dyDescent="0.25">
      <c r="A14" s="19" t="s">
        <v>65</v>
      </c>
      <c r="B14" s="24">
        <f>B13/Assumptions!B31</f>
        <v>-1.2377652187316786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1622436573.9045055</v>
      </c>
    </row>
    <row r="18" spans="1:2" x14ac:dyDescent="0.25">
      <c r="A18" t="s">
        <v>60</v>
      </c>
      <c r="B18" s="18">
        <f>B17*Assumptions!B13</f>
        <v>14866140766.329664</v>
      </c>
    </row>
    <row r="19" spans="1:2" x14ac:dyDescent="0.25">
      <c r="A19" t="s">
        <v>61</v>
      </c>
      <c r="B19" s="18">
        <f>B18/(1+Assumptions!B26)^(5-0.5*Assumptions!B32)</f>
        <v>8862148674.43038</v>
      </c>
    </row>
    <row r="20" spans="1:2" x14ac:dyDescent="0.25">
      <c r="A20" t="s">
        <v>62</v>
      </c>
      <c r="B20" s="18">
        <f>Forecast!B17+B19</f>
        <v>6396205208.755229</v>
      </c>
    </row>
    <row r="21" spans="1:2" x14ac:dyDescent="0.25">
      <c r="A21" t="s">
        <v>63</v>
      </c>
      <c r="B21" s="18">
        <f>-Assumptions!B30</f>
        <v>185492000</v>
      </c>
    </row>
    <row r="22" spans="1:2" x14ac:dyDescent="0.25">
      <c r="A22" t="s">
        <v>64</v>
      </c>
      <c r="B22" s="18">
        <f>B20+B21</f>
        <v>6581697208.755229</v>
      </c>
    </row>
    <row r="23" spans="1:2" x14ac:dyDescent="0.25">
      <c r="A23" s="19" t="s">
        <v>65</v>
      </c>
      <c r="B23" s="25">
        <f>B22/Assumptions!B31</f>
        <v>5.829611678314054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-1.2377652187316786</v>
      </c>
    </row>
    <row r="29" spans="1:2" x14ac:dyDescent="0.25">
      <c r="A29" s="19" t="s">
        <v>73</v>
      </c>
      <c r="B29" s="12">
        <f>B28/B26-1</f>
        <v>-1.1628638445699577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0.101823</v>
      </c>
      <c r="B5" s="31">
        <v>-1.1394814526213033</v>
      </c>
      <c r="C5" s="31">
        <v>-1.1091946644180082</v>
      </c>
      <c r="D5" s="31">
        <v>-1.0753451217875765</v>
      </c>
      <c r="E5" s="31">
        <v>-1.0371887550530647</v>
      </c>
      <c r="F5" s="31">
        <v>-0.9937587958628402</v>
      </c>
    </row>
    <row r="6" spans="1:6" x14ac:dyDescent="0.25">
      <c r="A6" s="30">
        <v>0.111823</v>
      </c>
      <c r="B6" s="31">
        <v>-1.2156884256706901</v>
      </c>
      <c r="C6" s="31">
        <v>-1.195200453431072</v>
      </c>
      <c r="D6" s="31">
        <v>-1.1726752863856151</v>
      </c>
      <c r="E6" s="31">
        <v>-1.1477394608127789</v>
      </c>
      <c r="F6" s="31">
        <v>-1.1199222859310176</v>
      </c>
    </row>
    <row r="7" spans="1:6" x14ac:dyDescent="0.25">
      <c r="A7" s="30">
        <v>0.121823</v>
      </c>
      <c r="B7" s="31">
        <v>-1.2667804694903502</v>
      </c>
      <c r="C7" s="31">
        <v>-1.2528536133309092</v>
      </c>
      <c r="D7" s="32">
        <v>-1.2377661842039132</v>
      </c>
      <c r="E7" s="31">
        <v>-1.2213285935039655</v>
      </c>
      <c r="F7" s="31">
        <v>-1.2033075801873994</v>
      </c>
    </row>
    <row r="8" spans="1:6" x14ac:dyDescent="0.25">
      <c r="A8" s="30">
        <v>0.131823</v>
      </c>
      <c r="B8" s="31">
        <v>-1.2998233711223395</v>
      </c>
      <c r="C8" s="31">
        <v>-1.2904079703237978</v>
      </c>
      <c r="D8" s="31">
        <v>-1.2803531132407546</v>
      </c>
      <c r="E8" s="31">
        <v>-1.269564598717601</v>
      </c>
      <c r="F8" s="31">
        <v>-1.2579287671734356</v>
      </c>
    </row>
    <row r="9" spans="1:6" x14ac:dyDescent="0.25">
      <c r="A9" s="30">
        <v>0.141823</v>
      </c>
      <c r="B9" s="31">
        <v>-1.3196155254851516</v>
      </c>
      <c r="C9" s="31">
        <v>-1.3133666264457908</v>
      </c>
      <c r="D9" s="31">
        <v>-1.3067954731707485</v>
      </c>
      <c r="E9" s="31">
        <v>-1.2998588382959282</v>
      </c>
      <c r="F9" s="31">
        <v>-1.292505401188165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1742346000</v>
      </c>
      <c r="C5" s="18">
        <v>920141000</v>
      </c>
      <c r="D5" s="18">
        <v>438593000</v>
      </c>
      <c r="E5" s="18">
        <v>76963000</v>
      </c>
      <c r="F5" s="8" t="s">
        <v>84</v>
      </c>
    </row>
    <row r="6" spans="1:6" x14ac:dyDescent="0.25">
      <c r="A6" t="s">
        <v>44</v>
      </c>
      <c r="B6" s="18">
        <v>787074000</v>
      </c>
      <c r="C6" s="18">
        <v>317226000</v>
      </c>
      <c r="D6" s="18">
        <v>41998000</v>
      </c>
      <c r="E6" s="18">
        <v>-63448000</v>
      </c>
      <c r="F6" s="8" t="s">
        <v>85</v>
      </c>
    </row>
    <row r="7" spans="1:6" x14ac:dyDescent="0.25">
      <c r="A7" t="s">
        <v>86</v>
      </c>
      <c r="B7" s="18">
        <v>167226000</v>
      </c>
      <c r="C7" s="18">
        <v>137275000</v>
      </c>
      <c r="D7" s="18">
        <v>74263000</v>
      </c>
      <c r="E7" s="18">
        <v>628000</v>
      </c>
      <c r="F7" s="8" t="s">
        <v>87</v>
      </c>
    </row>
    <row r="8" spans="1:6" x14ac:dyDescent="0.25">
      <c r="A8" t="s">
        <v>88</v>
      </c>
      <c r="B8" s="18">
        <v>326793000</v>
      </c>
      <c r="C8" s="18">
        <v>183059000</v>
      </c>
      <c r="D8" s="18">
        <v>164555000</v>
      </c>
      <c r="E8" s="18">
        <v>9137000</v>
      </c>
      <c r="F8" s="8" t="s">
        <v>89</v>
      </c>
    </row>
    <row r="9" spans="1:6" x14ac:dyDescent="0.25">
      <c r="A9" t="s">
        <v>90</v>
      </c>
      <c r="B9" s="18">
        <v>1797000</v>
      </c>
      <c r="C9" s="18">
        <v>90135000</v>
      </c>
      <c r="D9" s="18">
        <v>1039000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302843000</v>
      </c>
      <c r="C10" s="18">
        <v>200887000</v>
      </c>
      <c r="D10" s="18">
        <v>45203000</v>
      </c>
      <c r="E10" s="18">
        <v>11351000</v>
      </c>
      <c r="F10" s="8" t="s">
        <v>93</v>
      </c>
    </row>
    <row r="11" spans="1:6" x14ac:dyDescent="0.25">
      <c r="A11" t="s">
        <v>94</v>
      </c>
      <c r="B11" s="18">
        <v>488335000</v>
      </c>
      <c r="C11" s="18">
        <v>239532000</v>
      </c>
      <c r="D11" s="18">
        <v>171290000</v>
      </c>
      <c r="E11" s="18">
        <v>181538000</v>
      </c>
      <c r="F11" s="8" t="s">
        <v>95</v>
      </c>
    </row>
    <row r="12" spans="1:6" x14ac:dyDescent="0.25">
      <c r="A12" t="s">
        <v>32</v>
      </c>
      <c r="B12" s="34">
        <v>1129011257</v>
      </c>
      <c r="C12" s="34">
        <v>1129581205</v>
      </c>
      <c r="D12" s="34">
        <v>1130497981</v>
      </c>
      <c r="E12" s="34">
        <v>378135183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2026-09-19T00:06:42Z</dcterms:modified>
</cp:coreProperties>
</file>