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<sst xmlns="http://schemas.openxmlformats.org/spreadsheetml/2006/main" count="114" uniqueCount="102">
  <si>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Goodman Group (GMG.AX)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</si>
  <si>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</si>
  <si>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</si>
  <si>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</si>
  <si>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</si>
  <si>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</si>
  <si>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</si>
  <si>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</si>
  <si>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</si>
  <si>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</si>
  <si>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</si>
  <si>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</si>
  <si>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</si>
  <si>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</si>
  <si>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</si>
  <si>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</si>
  <si>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</si>
  <si>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</si>
  <si>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</si>
  <si>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</si>
  <si>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</si>
  <si>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</si>
  <si>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</si>
  <si>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</si>
  <si>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</si>
  <si>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</si>
  <si>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</si>
  <si>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</si>
  <si>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</si>
  <si>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</si>
  <si>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</si>
  <si>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</si>
  <si>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</si>
  <si>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</si>
  <si>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</si>
  <si>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</si>
  <si>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</si>
  <si>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</si>
  <si>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</si>
  <si>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</si>
  <si>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</si>
  <si>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</si>
  <si>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</si>
  <si>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</si>
  <si>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</si>
  <si>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</si>
  <si>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</si>
  <si>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</si>
  <si>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</si>
  <si>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</si>
  <si>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</si>
  <si>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</si>
  <si>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</si>
  <si>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</si>
  <si>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</si>
  <si>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</si>
  <si>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</si>
  <si>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</si>
  <si>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</si>
  <si>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</si>
  <si>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</si>
  <si>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</si>
  <si>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</si>
  <si>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</si>
  <si>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</si>
  <si>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</si>
  <si>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</si>
  <si>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</si>
  <si>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</si>
  <si>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</si>
  <si>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</si>
  <si>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</si>
  <si>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</si>
  <si>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</si>
  <si>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</si>
  <si>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</si>
  <si>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</si>
  <si>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</si>
  <si>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</si>
  <si>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</si>
  <si>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</si>
  <si>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</si>
  <si>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</si>
  <si>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</si>
  <si>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</si>
  <si>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</si>
  <si>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</si>
  <si>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</si>
  <si>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</si>
  <si>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</si>
  <si>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</si>
  <si>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</si>
  <si>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</si>
  <si>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</si>
  <si>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</si>
  <si>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</si>
  <si>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</si>
  <si>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</si>
  <si>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</si>
  <si>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Reported capital expenditure averages just 0.77%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</si>
  <si>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Current EV/EBITDA of 61.6x sits outside a defensible 3-20x band, so the exit multiple is capped at 20.0x.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</si>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</sst>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0.09594350532783325</v>
      </c>
    </row>
    <row r="7" spans="1:2" x14ac:dyDescent="0.25">
      <c r="A7" t="s">
        <v>5</v>
      </c>
      <c r="B7" s="6">
        <v>0.2872051028286206</v>
      </c>
    </row>
    <row r="8" spans="1:2" x14ac:dyDescent="0.25">
      <c r="A8" t="s">
        <v>6</v>
      </c>
      <c r="B8" s="6">
        <v>0.0964593612752806</v>
      </c>
    </row>
    <row r="9" spans="1:2" x14ac:dyDescent="0.25">
      <c r="A9" t="s">
        <v>7</v>
      </c>
      <c r="B9" s="6">
        <v>0.008325680427532097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0.10780364297963412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1.0201</v>
      </c>
      <c r="C19" s="8" t="s">
        <v>19</v>
      </c>
    </row>
    <row r="20" spans="1:2" x14ac:dyDescent="0.25">
      <c r="A20" t="s">
        <v>20</v>
      </c>
      <c r="B20" s="10">
        <f>B17+B19*B18</f>
        <v>0.114686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52642811904</v>
      </c>
    </row>
    <row r="23" spans="1:2" x14ac:dyDescent="0.25">
      <c r="A23" t="s">
        <v>24</v>
      </c>
      <c r="B23" s="11">
        <v>6091000000</v>
      </c>
    </row>
    <row r="24" spans="1:2" x14ac:dyDescent="0.25">
      <c r="A24" t="s">
        <v>25</v>
      </c>
      <c r="B24" s="10">
        <f>B22/(B22+B23)</f>
        <v>0.8962948291189461</v>
      </c>
    </row>
    <row r="25" spans="1:2" x14ac:dyDescent="0.25">
      <c r="A25" t="s">
        <v>26</v>
      </c>
      <c r="B25" s="10">
        <f>1-B24</f>
        <v>0.10370517088105391</v>
      </c>
    </row>
    <row r="26" spans="1:2" x14ac:dyDescent="0.25">
      <c r="A26" t="s">
        <v>27</v>
      </c>
      <c r="B26" s="12">
        <f>B24*B20+B25*B21*(1-B8)</f>
        <v>0.10780364297963412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2554600000</v>
      </c>
      <c r="C29" s="8" t="s">
        <v>30</v>
      </c>
    </row>
    <row r="30" spans="1:2" x14ac:dyDescent="0.25">
      <c r="A30" t="s">
        <v>31</v>
      </c>
      <c r="B30" s="11">
        <v>2009500000</v>
      </c>
    </row>
    <row r="31" spans="1:2" x14ac:dyDescent="0.25">
      <c r="A31" t="s">
        <v>32</v>
      </c>
      <c r="B31" s="13">
        <v>2090820166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0.09594350532783325</v>
      </c>
      <c r="C5" s="10">
        <f>Assumptions!B6</f>
        <v>0.09594350532783325</v>
      </c>
      <c r="D5" s="10">
        <f>Assumptions!B6</f>
        <v>0.09594350532783325</v>
      </c>
      <c r="E5" s="10">
        <f>Assumptions!B6</f>
        <v>0.09594350532783325</v>
      </c>
      <c r="F5" s="10">
        <f>Assumptions!B6</f>
        <v>0.09594350532783325</v>
      </c>
    </row>
    <row r="6" spans="1:6" x14ac:dyDescent="0.25">
      <c r="A6" t="s">
        <v>43</v>
      </c>
      <c r="B6" s="18">
        <f>Assumptions!B29*(1+B5)</f>
        <v>2799697278.7104826</v>
      </c>
      <c r="C6" s="18">
        <f>B6*(1+C5)</f>
        <v>3068310049.486762</v>
      </c>
      <c r="D6" s="18">
        <f>C6*(1+D5)</f>
        <v>3362694471.0671396</v>
      </c>
      <c r="E6" s="18">
        <f>D6*(1+E5)</f>
        <v>3685323165.967845</v>
      </c>
      <c r="F6" s="18">
        <f>E6*(1+F5)</f>
        <v>4038905988.776668</v>
      </c>
    </row>
    <row r="7" spans="1:6" x14ac:dyDescent="0.25">
      <c r="A7" t="s">
        <v>5</v>
      </c>
      <c r="B7" s="10">
        <f>Assumptions!B7</f>
        <v>0.2872051028286206</v>
      </c>
      <c r="C7" s="10">
        <f>Assumptions!B7</f>
        <v>0.2872051028286206</v>
      </c>
      <c r="D7" s="10">
        <f>Assumptions!B7</f>
        <v>0.2872051028286206</v>
      </c>
      <c r="E7" s="10">
        <f>Assumptions!B7</f>
        <v>0.2872051028286206</v>
      </c>
      <c r="F7" s="10">
        <f>Assumptions!B7</f>
        <v>0.2872051028286206</v>
      </c>
    </row>
    <row r="8" spans="1:6" x14ac:dyDescent="0.25">
      <c r="A8" t="s">
        <v>44</v>
      </c>
      <c r="B8" s="18">
        <f>B6*B7</f>
        <v>804087344.8210534</v>
      </c>
      <c r="C8" s="18">
        <f>C6*C7</f>
        <v>881234303.2729355</v>
      </c>
      <c r="D8" s="18">
        <f>D6*D7</f>
        <v>965783011.3440719</v>
      </c>
      <c r="E8" s="18">
        <f>E6*E7</f>
        <v>1058443618.8384925</v>
      </c>
      <c r="F8" s="18">
        <f>F6*F7</f>
        <v>1159994409.8217344</v>
      </c>
    </row>
    <row r="9" spans="1:6" x14ac:dyDescent="0.25">
      <c r="A9" t="s">
        <v>45</v>
      </c>
      <c r="B9" s="18">
        <f>B8*(1-Assumptions!B8)</f>
        <v>726525593.1300782</v>
      </c>
      <c r="C9" s="18">
        <f>C8*(1-Assumptions!B8)</f>
        <v>796231005.2453612</v>
      </c>
      <c r="D9" s="18">
        <f>D8*(1-Assumptions!B8)</f>
        <v>872624198.9393055</v>
      </c>
      <c r="E9" s="18">
        <f>E8*(1-Assumptions!B8)</f>
        <v>956346823.4194349</v>
      </c>
      <c r="F9" s="18">
        <f>F8*(1-Assumptions!B8)</f>
        <v>1048102089.9674338</v>
      </c>
    </row>
    <row r="10" spans="1:6" x14ac:dyDescent="0.25">
      <c r="A10" t="s">
        <v>46</v>
      </c>
      <c r="B10" s="18">
        <f>B6*Assumptions!B9</f>
        <v>23309384.836374737</v>
      </c>
      <c r="C10" s="18">
        <f>C6*Assumptions!B9</f>
        <v>25545768.924611975</v>
      </c>
      <c r="D10" s="18">
        <f>D6*Assumptions!B9</f>
        <v>27996719.54153408</v>
      </c>
      <c r="E10" s="18">
        <f>E6*Assumptions!B9</f>
        <v>30682822.95202911</v>
      </c>
      <c r="F10" s="18">
        <f>F6*Assumptions!B9</f>
        <v>33626640.53940008</v>
      </c>
    </row>
    <row r="11" spans="1:6" x14ac:dyDescent="0.25">
      <c r="A11" t="s">
        <v>47</v>
      </c>
      <c r="B11" s="18">
        <f>-B6*Assumptions!B10</f>
        <v>-27996972.787104826</v>
      </c>
      <c r="C11" s="18">
        <f>-C6*Assumptions!B10</f>
        <v>-30683100.494867623</v>
      </c>
      <c r="D11" s="18">
        <f>-D6*Assumptions!B10</f>
        <v>-33626944.710671395</v>
      </c>
      <c r="E11" s="18">
        <f>-E6*Assumptions!B10</f>
        <v>-36853231.65967845</v>
      </c>
      <c r="F11" s="18">
        <f>-F6*Assumptions!B10</f>
        <v>-40389059.88776668</v>
      </c>
    </row>
    <row r="12" spans="1:6" x14ac:dyDescent="0.25">
      <c r="A12" t="s">
        <v>48</v>
      </c>
      <c r="B12" s="18">
        <f>-(B6-Assumptions!B29)*Assumptions!B11</f>
        <v>-245097278.7104826</v>
      </c>
      <c r="C12" s="18">
        <f>-(C6-B6)*Assumptions!B11</f>
        <v>-268612770.77627945</v>
      </c>
      <c r="D12" s="18">
        <f>-(D6-C6)*Assumptions!B11</f>
        <v>-294384421.5803776</v>
      </c>
      <c r="E12" s="18">
        <f>-(E6-D6)*Assumptions!B11</f>
        <v>-322628694.90070534</v>
      </c>
      <c r="F12" s="18">
        <f>-(F6-E6)*Assumptions!B11</f>
        <v>-353582822.8088231</v>
      </c>
    </row>
    <row r="13" spans="1:6" x14ac:dyDescent="0.25">
      <c r="A13" s="19" t="s">
        <v>49</v>
      </c>
      <c r="B13" s="20">
        <f>B9+B10+B11+B12</f>
        <v>476740726.4688655</v>
      </c>
      <c r="C13" s="20">
        <f>C9+C10+C11+C12</f>
        <v>522480902.8988261</v>
      </c>
      <c r="D13" s="20">
        <f>D9+D10+D11+D12</f>
        <v>572609552.1897906</v>
      </c>
      <c r="E13" s="20">
        <f>E9+E10+E11+E12</f>
        <v>627547719.8110802</v>
      </c>
      <c r="F13" s="20">
        <f>F9+F10+F11+F12</f>
        <v>687756847.810244</v>
      </c>
    </row>
    <row r="14" spans="1:6" x14ac:dyDescent="0.25">
      <c r="A14" t="s">
        <v>50</v>
      </c>
      <c r="B14" s="21">
        <f>1/(1+Assumptions!$B$26)^(1-0.5*Assumptions!$B$32)</f>
        <v>0.9500984410990807</v>
      </c>
      <c r="C14" s="21">
        <f>1/(1+Assumptions!$B$26)^(2-0.5*Assumptions!$B$32)</f>
        <v>0.8576415568950674</v>
      </c>
      <c r="D14" s="21">
        <f>1/(1+Assumptions!$B$26)^(3-0.5*Assumptions!$B$32)</f>
        <v>0.7741819250461105</v>
      </c>
      <c r="E14" s="21">
        <f>1/(1+Assumptions!$B$26)^(4-0.5*Assumptions!$B$32)</f>
        <v>0.6988439963636617</v>
      </c>
      <c r="F14" s="21">
        <f>1/(1+Assumptions!$B$26)^(5-0.5*Assumptions!$B$32)</f>
        <v>0.6308374239355243</v>
      </c>
    </row>
    <row r="15" spans="1:6" x14ac:dyDescent="0.25">
      <c r="A15" s="19" t="s">
        <v>51</v>
      </c>
      <c r="B15" s="20">
        <f>B13*B14</f>
        <v>452950621.0265124</v>
      </c>
      <c r="C15" s="20">
        <f>C13*C14</f>
        <v>448101335.01008976</v>
      </c>
      <c r="D15" s="20">
        <f>D13*D14</f>
        <v>443303965.41408336</v>
      </c>
      <c r="E15" s="20">
        <f>E13*E14</f>
        <v>438557956.4216787</v>
      </c>
      <c r="F15" s="20">
        <f>F13*F14</f>
        <v>433862758.16663074</v>
      </c>
    </row>
    <row r="17" spans="1:2" x14ac:dyDescent="0.25">
      <c r="A17" s="22" t="s">
        <v>52</v>
      </c>
      <c r="B17" s="23">
        <f>SUM(B15:F15)</f>
        <v>2216776636.038995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687756847.810244</v>
      </c>
    </row>
    <row r="5" spans="1:2" x14ac:dyDescent="0.25">
      <c r="A5" t="s">
        <v>56</v>
      </c>
      <c r="B5" s="18">
        <f>IF(Assumptions!$B$33=0,B4,B4-Forecast!F11-Forecast!F10-Forecast!F12)</f>
        <v>1048102089.9674338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0.23190310929216848</v>
      </c>
    </row>
    <row r="7" spans="1:2" x14ac:dyDescent="0.25">
      <c r="A7" t="s">
        <v>58</v>
      </c>
      <c r="B7" s="18">
        <f>-MAX(Forecast!F9,0)*B6</f>
        <v>-243058133.519068</v>
      </c>
    </row>
    <row r="8" spans="1:2" x14ac:dyDescent="0.25">
      <c r="A8" t="s">
        <v>59</v>
      </c>
      <c r="B8" s="18">
        <f>IF(OR(Assumptions!$B$33=0,Assumptions!B12&lt;=0),B5,MAX(B5+B7,0))</f>
        <v>805043956.4483658</v>
      </c>
    </row>
    <row r="9" spans="1:2" x14ac:dyDescent="0.25">
      <c r="A9" t="s">
        <v>60</v>
      </c>
      <c r="B9" s="18">
        <f>B8*(1+Assumptions!B12)/(Assumptions!B26-Assumptions!B12)</f>
        <v>9965383474.281788</v>
      </c>
    </row>
    <row r="10" spans="1:2" x14ac:dyDescent="0.25">
      <c r="A10" t="s">
        <v>61</v>
      </c>
      <c r="B10" s="18">
        <f>B9/(1+Assumptions!B26)^(5-0.5*Assumptions!B32)</f>
        <v>6286536839.445569</v>
      </c>
    </row>
    <row r="11" spans="1:2" x14ac:dyDescent="0.25">
      <c r="A11" t="s">
        <v>62</v>
      </c>
      <c r="B11" s="18">
        <f>Forecast!B17+B10</f>
        <v>8503313475.484564</v>
      </c>
    </row>
    <row r="12" spans="1:2" x14ac:dyDescent="0.25">
      <c r="A12" t="s">
        <v>63</v>
      </c>
      <c r="B12" s="18">
        <f>-Assumptions!B30</f>
        <v>-2009500000</v>
      </c>
    </row>
    <row r="13" spans="1:2" x14ac:dyDescent="0.25">
      <c r="A13" t="s">
        <v>64</v>
      </c>
      <c r="B13" s="18">
        <f>B11+B12</f>
        <v>6493813475.484564</v>
      </c>
    </row>
    <row r="14" spans="1:2" x14ac:dyDescent="0.25">
      <c r="A14" s="19" t="s">
        <v>65</v>
      </c>
      <c r="B14" s="24">
        <f>B13/Assumptions!B31</f>
        <v>3.1058689700262647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1193621050.3611345</v>
      </c>
    </row>
    <row r="18" spans="1:2" x14ac:dyDescent="0.25">
      <c r="A18" t="s">
        <v>60</v>
      </c>
      <c r="B18" s="18">
        <f>B17*Assumptions!B13</f>
        <v>23872421007.22269</v>
      </c>
    </row>
    <row r="19" spans="1:2" x14ac:dyDescent="0.25">
      <c r="A19" t="s">
        <v>61</v>
      </c>
      <c r="B19" s="18">
        <f>B18/(1+Assumptions!B26)^(5-0.5*Assumptions!B32)</f>
        <v>15059616571.300657</v>
      </c>
    </row>
    <row r="20" spans="1:2" x14ac:dyDescent="0.25">
      <c r="A20" t="s">
        <v>62</v>
      </c>
      <c r="B20" s="18">
        <f>Forecast!B17+B19</f>
        <v>17276393207.339653</v>
      </c>
    </row>
    <row r="21" spans="1:2" x14ac:dyDescent="0.25">
      <c r="A21" t="s">
        <v>63</v>
      </c>
      <c r="B21" s="18">
        <f>-Assumptions!B30</f>
        <v>-2009500000</v>
      </c>
    </row>
    <row r="22" spans="1:2" x14ac:dyDescent="0.25">
      <c r="A22" t="s">
        <v>64</v>
      </c>
      <c r="B22" s="18">
        <f>B20+B21</f>
        <v>15266893207.339653</v>
      </c>
    </row>
    <row r="23" spans="1:2" x14ac:dyDescent="0.25">
      <c r="A23" s="19" t="s">
        <v>65</v>
      </c>
      <c r="B23" s="25">
        <f>B22/Assumptions!B31</f>
        <v>7.30186816427504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25.62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3.1058689700262647</v>
      </c>
    </row>
    <row r="29" spans="1:2" x14ac:dyDescent="0.25">
      <c r="A29" s="19" t="s">
        <v>73</v>
      </c>
      <c r="B29" s="12">
        <f>B28/B26-1</f>
        <v>-0.8787717029654073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0.087804</v>
      </c>
      <c r="B5" s="31">
        <v>4.116375929049226</v>
      </c>
      <c r="C5" s="31">
        <v>4.135922234379167</v>
      </c>
      <c r="D5" s="31">
        <v>4.155468539709105</v>
      </c>
      <c r="E5" s="31">
        <v>4.175014845039048</v>
      </c>
      <c r="F5" s="31">
        <v>4.194561150368988</v>
      </c>
    </row>
    <row r="6" spans="1:6" x14ac:dyDescent="0.25">
      <c r="A6" s="30">
        <v>0.097804</v>
      </c>
      <c r="B6" s="31">
        <v>3.541815927977151</v>
      </c>
      <c r="C6" s="31">
        <v>3.558655794864631</v>
      </c>
      <c r="D6" s="31">
        <v>3.575495661752109</v>
      </c>
      <c r="E6" s="31">
        <v>3.5923355286395906</v>
      </c>
      <c r="F6" s="31">
        <v>3.6091753955270707</v>
      </c>
    </row>
    <row r="7" spans="1:6" x14ac:dyDescent="0.25">
      <c r="A7" s="30">
        <v>0.107804</v>
      </c>
      <c r="B7" s="31">
        <v>3.076519969667881</v>
      </c>
      <c r="C7" s="31">
        <v>3.0911868873828725</v>
      </c>
      <c r="D7" s="32">
        <v>3.105853805097865</v>
      </c>
      <c r="E7" s="31">
        <v>3.1205207228128575</v>
      </c>
      <c r="F7" s="31">
        <v>3.135187640527848</v>
      </c>
    </row>
    <row r="8" spans="1:6" x14ac:dyDescent="0.25">
      <c r="A8" s="30">
        <v>0.117804</v>
      </c>
      <c r="B8" s="31">
        <v>2.692527114499344</v>
      </c>
      <c r="C8" s="31">
        <v>2.705417069666956</v>
      </c>
      <c r="D8" s="31">
        <v>2.718307024834568</v>
      </c>
      <c r="E8" s="31">
        <v>2.7311969800021796</v>
      </c>
      <c r="F8" s="31">
        <v>2.7440869351697916</v>
      </c>
    </row>
    <row r="9" spans="1:6" x14ac:dyDescent="0.25">
      <c r="A9" s="30">
        <v>0.127804</v>
      </c>
      <c r="B9" s="31">
        <v>2.3706356137370554</v>
      </c>
      <c r="C9" s="31">
        <v>2.3820502250331557</v>
      </c>
      <c r="D9" s="31">
        <v>2.393464836329255</v>
      </c>
      <c r="E9" s="31">
        <v>2.4048794476253543</v>
      </c>
      <c r="F9" s="31">
        <v>2.4162940589214537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2554600000</v>
      </c>
      <c r="C5" s="18">
        <v>2068600000</v>
      </c>
      <c r="D5" s="18">
        <v>1922200000</v>
      </c>
      <c r="E5" s="18">
        <v>1940700000</v>
      </c>
      <c r="F5" s="8" t="s">
        <v>84</v>
      </c>
    </row>
    <row r="6" spans="1:6" x14ac:dyDescent="0.25">
      <c r="A6" t="s">
        <v>44</v>
      </c>
      <c r="B6" s="18">
        <v>869700000</v>
      </c>
      <c r="C6" s="18">
        <v>503900000</v>
      </c>
      <c r="D6" s="18">
        <v>464500000</v>
      </c>
      <c r="E6" s="18">
        <v>627100000</v>
      </c>
      <c r="F6" s="8" t="s">
        <v>85</v>
      </c>
    </row>
    <row r="7" spans="1:6" x14ac:dyDescent="0.25">
      <c r="A7" t="s">
        <v>86</v>
      </c>
      <c r="B7" s="18">
        <v>18100000</v>
      </c>
      <c r="C7" s="18">
        <v>17600000</v>
      </c>
      <c r="D7" s="18">
        <v>17500000</v>
      </c>
      <c r="E7" s="18">
        <v>16700000</v>
      </c>
      <c r="F7" s="8" t="s">
        <v>87</v>
      </c>
    </row>
    <row r="8" spans="1:6" x14ac:dyDescent="0.25">
      <c r="A8" t="s">
        <v>88</v>
      </c>
      <c r="B8" s="18">
        <v>39500000</v>
      </c>
      <c r="C8" s="18">
        <v>6400000</v>
      </c>
      <c r="D8" s="18">
        <v>10500000</v>
      </c>
      <c r="E8" s="18">
        <v>13000000</v>
      </c>
      <c r="F8" s="8" t="s">
        <v>89</v>
      </c>
    </row>
    <row r="9" spans="1:6" x14ac:dyDescent="0.25">
      <c r="A9" t="s">
        <v>90</v>
      </c>
      <c r="B9" s="18">
        <v>1086800000</v>
      </c>
      <c r="C9" s="18">
        <v>-739500000</v>
      </c>
      <c r="D9" s="18">
        <v>-194600000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6091000000</v>
      </c>
      <c r="C10" s="18">
        <v>5275000000</v>
      </c>
      <c r="D10" s="18">
        <v>3723000000</v>
      </c>
      <c r="E10" s="18">
        <v>3360600000</v>
      </c>
      <c r="F10" s="8" t="s">
        <v>93</v>
      </c>
    </row>
    <row r="11" spans="1:6" x14ac:dyDescent="0.25">
      <c r="A11" t="s">
        <v>94</v>
      </c>
      <c r="B11" s="18">
        <v>4081500000</v>
      </c>
      <c r="C11" s="18">
        <v>3957100000</v>
      </c>
      <c r="D11" s="18">
        <v>1785300000</v>
      </c>
      <c r="E11" s="18">
        <v>1360100000</v>
      </c>
      <c r="F11" s="8" t="s">
        <v>95</v>
      </c>
    </row>
    <row r="12" spans="1:6" x14ac:dyDescent="0.25">
      <c r="A12" t="s">
        <v>32</v>
      </c>
      <c r="B12" s="34">
        <v>2090820166</v>
      </c>
      <c r="C12" s="34">
        <v>1975322020</v>
      </c>
      <c r="D12" s="34">
        <v>1896680969</v>
      </c>
      <c r="E12" s="34">
        <v>1918696187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86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2026-09-19T00:07:55Z</dcterms:modified>
</cp:coreProperties>
</file>