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<sst xmlns="http://schemas.openxmlformats.org/spreadsheetml/2006/main" count="113" uniqueCount="101">
  <si>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Genesis Energy Limited (GNE.AX)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</si>
  <si>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</si>
  <si>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</si>
  <si>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</si>
  <si>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</si>
  <si>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</si>
  <si>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</si>
  <si>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</si>
  <si>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</si>
  <si>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</si>
  <si>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</si>
  <si>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</si>
  <si>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</si>
  <si>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</si>
  <si>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</si>
  <si>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</si>
  <si>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</si>
  <si>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</si>
  <si>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</si>
  <si>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</si>
  <si>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</si>
  <si>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</si>
  <si>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</si>
  <si>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</si>
  <si>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</si>
  <si>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</si>
  <si>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</si>
  <si>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</si>
  <si>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</si>
  <si>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</si>
  <si>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</si>
  <si>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</si>
  <si>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</si>
  <si>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</si>
  <si>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</si>
  <si>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</si>
  <si>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</si>
  <si>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</si>
  <si>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</si>
  <si>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</si>
  <si>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</si>
  <si>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</si>
  <si>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</si>
  <si>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</si>
  <si>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</si>
  <si>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</si>
  <si>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</si>
  <si>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</si>
  <si>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</si>
  <si>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</si>
  <si>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</si>
  <si>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</si>
  <si>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</si>
  <si>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</si>
  <si>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</si>
  <si>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</si>
  <si>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</si>
  <si>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</si>
  <si>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</si>
  <si>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</si>
  <si>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</si>
  <si>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</si>
  <si>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</si>
  <si>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</si>
  <si>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</si>
  <si>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</si>
  <si>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</si>
  <si>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</si>
  <si>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</si>
  <si>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</si>
  <si>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NZD to AUD</t>
  </si>
  <si>
    <t>NZD/AUD at 0.8033</t>
  </si>
  <si>
    <t>Value per share (AUD)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</si>
  <si>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</si>
  <si>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</si>
  <si>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</si>
  <si>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</si>
  <si>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</si>
  <si>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</si>
  <si>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</si>
  <si>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</si>
  <si>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</si>
  <si>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</si>
  <si>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</si>
  <si>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</si>
  <si>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</si>
  <si>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</si>
  <si>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</si>
  <si>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</si>
  <si>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</si>
  <si>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</si>
  <si>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</si>
  <si>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</si>
  <si>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</si>
  <si>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</si>
  <si>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</si>
  <si>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</si>
  <si>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</si>
  <si>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</si>
  <si>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Reports in NZD, trades in AUD. Modelled in NZD, converted at the end.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</si>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</sst>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0.05742238830867841</v>
      </c>
    </row>
    <row r="7" spans="1:2" x14ac:dyDescent="0.25">
      <c r="A7" t="s">
        <v>5</v>
      </c>
      <c r="B7" s="6">
        <v>0.07045388699475258</v>
      </c>
    </row>
    <row r="8" spans="1:2" x14ac:dyDescent="0.25">
      <c r="A8" t="s">
        <v>6</v>
      </c>
      <c r="B8" s="6">
        <v>0.2953419366767035</v>
      </c>
    </row>
    <row r="9" spans="1:2" x14ac:dyDescent="0.25">
      <c r="A9" t="s">
        <v>7</v>
      </c>
      <c r="B9" s="6">
        <v>0.08436453551257517</v>
      </c>
    </row>
    <row r="10" spans="1:2" x14ac:dyDescent="0.25">
      <c r="A10" t="s">
        <v>8</v>
      </c>
      <c r="B10" s="6">
        <v>0.055784108352049104</v>
      </c>
    </row>
    <row r="11" spans="1:2" x14ac:dyDescent="0.25">
      <c r="A11" t="s">
        <v>9</v>
      </c>
      <c r="B11" s="6">
        <v>0.08927775300936246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7.179739311150029</v>
      </c>
    </row>
    <row r="14" spans="1:3" x14ac:dyDescent="0.25">
      <c r="A14" t="s">
        <v>12</v>
      </c>
      <c r="B14" s="6">
        <v>0.071361384267585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0.5350199999999999</v>
      </c>
      <c r="C19" s="8" t="s">
        <v>19</v>
      </c>
    </row>
    <row r="20" spans="1:2" x14ac:dyDescent="0.25">
      <c r="A20" t="s">
        <v>20</v>
      </c>
      <c r="B20" s="10">
        <f>B17+B19*B18</f>
        <v>0.0855812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2696268032</v>
      </c>
    </row>
    <row r="23" spans="1:2" x14ac:dyDescent="0.25">
      <c r="A23" t="s">
        <v>24</v>
      </c>
      <c r="B23" s="11">
        <v>1138500000</v>
      </c>
    </row>
    <row r="24" spans="1:2" x14ac:dyDescent="0.25">
      <c r="A24" t="s">
        <v>25</v>
      </c>
      <c r="B24" s="10">
        <f>B22/(B22+B23)</f>
        <v>0.7031111163701284</v>
      </c>
    </row>
    <row r="25" spans="1:2" x14ac:dyDescent="0.25">
      <c r="A25" t="s">
        <v>26</v>
      </c>
      <c r="B25" s="10">
        <f>1-B24</f>
        <v>0.29688888362987165</v>
      </c>
    </row>
    <row r="26" spans="1:2" x14ac:dyDescent="0.25">
      <c r="A26" t="s">
        <v>27</v>
      </c>
      <c r="B26" s="12">
        <f>B24*B20+B25*B21*(1-B8)</f>
        <v>0.071361384267585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2817300000</v>
      </c>
      <c r="C29" s="8" t="s">
        <v>30</v>
      </c>
    </row>
    <row r="30" spans="1:2" x14ac:dyDescent="0.25">
      <c r="A30" t="s">
        <v>31</v>
      </c>
      <c r="B30" s="11">
        <v>993400000</v>
      </c>
    </row>
    <row r="31" spans="1:2" x14ac:dyDescent="0.25">
      <c r="A31" t="s">
        <v>32</v>
      </c>
      <c r="B31" s="13">
        <v>1164100000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0.05742238830867841</v>
      </c>
      <c r="C5" s="10">
        <f>Assumptions!B6</f>
        <v>0.05742238830867841</v>
      </c>
      <c r="D5" s="10">
        <f>Assumptions!B6</f>
        <v>0.05742238830867841</v>
      </c>
      <c r="E5" s="10">
        <f>Assumptions!B6</f>
        <v>0.05742238830867841</v>
      </c>
      <c r="F5" s="10">
        <f>Assumptions!B6</f>
        <v>0.05742238830867841</v>
      </c>
    </row>
    <row r="6" spans="1:6" x14ac:dyDescent="0.25">
      <c r="A6" t="s">
        <v>43</v>
      </c>
      <c r="B6" s="18">
        <f>Assumptions!B29*(1+B5)</f>
        <v>2979076094.58204</v>
      </c>
      <c r="C6" s="18">
        <f>B6*(1+C5)</f>
        <v>3150141758.886231</v>
      </c>
      <c r="D6" s="18">
        <f>C6*(1+D5)</f>
        <v>3331030422.1923795</v>
      </c>
      <c r="E6" s="18">
        <f>D6*(1+E5)</f>
        <v>3522306144.5635314</v>
      </c>
      <c r="F6" s="18">
        <f>E6*(1+F5)</f>
        <v>3724565375.7387023</v>
      </c>
    </row>
    <row r="7" spans="1:6" x14ac:dyDescent="0.25">
      <c r="A7" t="s">
        <v>5</v>
      </c>
      <c r="B7" s="10">
        <f>Assumptions!B7</f>
        <v>0.07045388699475258</v>
      </c>
      <c r="C7" s="10">
        <f>Assumptions!B7</f>
        <v>0.07045388699475258</v>
      </c>
      <c r="D7" s="10">
        <f>Assumptions!B7</f>
        <v>0.07045388699475258</v>
      </c>
      <c r="E7" s="10">
        <f>Assumptions!B7</f>
        <v>0.07045388699475258</v>
      </c>
      <c r="F7" s="10">
        <f>Assumptions!B7</f>
        <v>0.07045388699475258</v>
      </c>
    </row>
    <row r="8" spans="1:6" x14ac:dyDescent="0.25">
      <c r="A8" t="s">
        <v>44</v>
      </c>
      <c r="B8" s="18">
        <f>B6*B7</f>
        <v>209887490.5164519</v>
      </c>
      <c r="C8" s="18">
        <f>C6*C7</f>
        <v>221939731.49802163</v>
      </c>
      <c r="D8" s="18">
        <f>D6*D7</f>
        <v>234684040.94122487</v>
      </c>
      <c r="E8" s="18">
        <f>E6*E7</f>
        <v>248160159.0700017</v>
      </c>
      <c r="F8" s="18">
        <f>F6*F7</f>
        <v>262410108.0868627</v>
      </c>
    </row>
    <row r="9" spans="1:6" x14ac:dyDescent="0.25">
      <c r="A9" t="s">
        <v>45</v>
      </c>
      <c r="B9" s="18">
        <f>B8*(1-Assumptions!B8)</f>
        <v>147898912.58310977</v>
      </c>
      <c r="C9" s="18">
        <f>C8*(1-Assumptions!B8)</f>
        <v>156391621.37188834</v>
      </c>
      <c r="D9" s="18">
        <f>D8*(1-Assumptions!B8)</f>
        <v>165372001.78252876</v>
      </c>
      <c r="E9" s="18">
        <f>E8*(1-Assumptions!B8)</f>
        <v>174868057.08426857</v>
      </c>
      <c r="F9" s="18">
        <f>F8*(1-Assumptions!B8)</f>
        <v>184909398.56094557</v>
      </c>
    </row>
    <row r="10" spans="1:6" x14ac:dyDescent="0.25">
      <c r="A10" t="s">
        <v>46</v>
      </c>
      <c r="B10" s="18">
        <f>B6*Assumptions!B9</f>
        <v>251328370.97603023</v>
      </c>
      <c r="C10" s="18">
        <f>C6*Assumptions!B9</f>
        <v>265760246.28720343</v>
      </c>
      <c r="D10" s="18">
        <f>D6*Assumptions!B9</f>
        <v>281020834.34651726</v>
      </c>
      <c r="E10" s="18">
        <f>E6*Assumptions!B9</f>
        <v>297157721.81919175</v>
      </c>
      <c r="F10" s="18">
        <f>F6*Assumptions!B9</f>
        <v>314221227.91041565</v>
      </c>
    </row>
    <row r="11" spans="1:6" x14ac:dyDescent="0.25">
      <c r="A11" t="s">
        <v>47</v>
      </c>
      <c r="B11" s="18">
        <f>-B6*Assumptions!B10</f>
        <v>-166185103.64916378</v>
      </c>
      <c r="C11" s="18">
        <f>-C6*Assumptions!B10</f>
        <v>-175727849.20202404</v>
      </c>
      <c r="D11" s="18">
        <f>-D6*Assumptions!B10</f>
        <v>-185818561.99555156</v>
      </c>
      <c r="E11" s="18">
        <f>-E6*Assumptions!B10</f>
        <v>-196488707.61742038</v>
      </c>
      <c r="F11" s="18">
        <f>-F6*Assumptions!B10</f>
        <v>-207771558.48449826</v>
      </c>
    </row>
    <row r="12" spans="1:6" x14ac:dyDescent="0.25">
      <c r="A12" t="s">
        <v>48</v>
      </c>
      <c r="B12" s="18">
        <f>-(B6-Assumptions!B29)*Assumptions!B11</f>
        <v>-14443006.214914612</v>
      </c>
      <c r="C12" s="18">
        <f>-(C6-B6)*Assumptions!B11</f>
        <v>-15272358.126132086</v>
      </c>
      <c r="D12" s="18">
        <f>-(D6-C6)*Assumptions!B11</f>
        <v>-16149333.404840054</v>
      </c>
      <c r="E12" s="18">
        <f>-(E6-D6)*Assumptions!B11</f>
        <v>-17076666.698539086</v>
      </c>
      <c r="F12" s="18">
        <f>-(F6-E6)*Assumptions!B11</f>
        <v>-18057249.68472045</v>
      </c>
    </row>
    <row r="13" spans="1:6" x14ac:dyDescent="0.25">
      <c r="A13" s="19" t="s">
        <v>49</v>
      </c>
      <c r="B13" s="20">
        <f>B9+B10+B11+B12</f>
        <v>218599173.69506156</v>
      </c>
      <c r="C13" s="20">
        <f>C9+C10+C11+C12</f>
        <v>231151660.33093566</v>
      </c>
      <c r="D13" s="20">
        <f>D9+D10+D11+D12</f>
        <v>244424940.7286544</v>
      </c>
      <c r="E13" s="20">
        <f>E9+E10+E11+E12</f>
        <v>258460404.58750087</v>
      </c>
      <c r="F13" s="20">
        <f>F9+F10+F11+F12</f>
        <v>273301818.3021425</v>
      </c>
    </row>
    <row r="14" spans="1:6" x14ac:dyDescent="0.25">
      <c r="A14" t="s">
        <v>50</v>
      </c>
      <c r="B14" s="21">
        <f>1/(1+Assumptions!$B$26)^(1-0.5*Assumptions!$B$32)</f>
        <v>0.9661220753539198</v>
      </c>
      <c r="C14" s="21">
        <f>1/(1+Assumptions!$B$26)^(2-0.5*Assumptions!$B$32)</f>
        <v>0.9017704852358384</v>
      </c>
      <c r="D14" s="21">
        <f>1/(1+Assumptions!$B$26)^(3-0.5*Assumptions!$B$32)</f>
        <v>0.8417052345528729</v>
      </c>
      <c r="E14" s="21">
        <f>1/(1+Assumptions!$B$26)^(4-0.5*Assumptions!$B$32)</f>
        <v>0.7856408182270711</v>
      </c>
      <c r="F14" s="21">
        <f>1/(1+Assumptions!$B$26)^(5-0.5*Assumptions!$B$32)</f>
        <v>0.7333107481414021</v>
      </c>
    </row>
    <row r="15" spans="1:6" x14ac:dyDescent="0.25">
      <c r="A15" s="19" t="s">
        <v>51</v>
      </c>
      <c r="B15" s="20">
        <f>B13*B14</f>
        <v>211193487.36092487</v>
      </c>
      <c r="C15" s="20">
        <f>C13*C14</f>
        <v>208445744.89969754</v>
      </c>
      <c r="D15" s="20">
        <f>D13*D14</f>
        <v>205733752.06658414</v>
      </c>
      <c r="E15" s="20">
        <f>E13*E14</f>
        <v>203057043.73942402</v>
      </c>
      <c r="F15" s="20">
        <f>F13*F14</f>
        <v>200415160.84754965</v>
      </c>
    </row>
    <row r="17" spans="1:2" x14ac:dyDescent="0.25">
      <c r="A17" s="22" t="s">
        <v>52</v>
      </c>
      <c r="B17" s="23">
        <f>SUM(B15:F15)</f>
        <v>1028845188.9141802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273301818.3021425</v>
      </c>
    </row>
    <row r="5" spans="1:2" x14ac:dyDescent="0.25">
      <c r="A5" t="s">
        <v>56</v>
      </c>
      <c r="B5" s="18">
        <f>IF(Assumptions!$B$33=0,B4,B4-Forecast!F11-Forecast!F10-Forecast!F12)</f>
        <v>184909398.56094557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0.35032952704864967</v>
      </c>
    </row>
    <row r="7" spans="1:2" x14ac:dyDescent="0.25">
      <c r="A7" t="s">
        <v>58</v>
      </c>
      <c r="B7" s="18">
        <f>-MAX(Forecast!F9,0)*B6</f>
        <v>-64779222.144706324</v>
      </c>
    </row>
    <row r="8" spans="1:2" x14ac:dyDescent="0.25">
      <c r="A8" t="s">
        <v>59</v>
      </c>
      <c r="B8" s="18">
        <f>IF(OR(Assumptions!$B$33=0,Assumptions!B12&lt;=0),B5,MAX(B5+B7,0))</f>
        <v>120130176.41623925</v>
      </c>
    </row>
    <row r="9" spans="1:2" x14ac:dyDescent="0.25">
      <c r="A9" t="s">
        <v>60</v>
      </c>
      <c r="B9" s="18">
        <f>B8*(1+Assumptions!B12)/(Assumptions!B26-Assumptions!B12)</f>
        <v>2655948107.9329586</v>
      </c>
    </row>
    <row r="10" spans="1:2" x14ac:dyDescent="0.25">
      <c r="A10" t="s">
        <v>61</v>
      </c>
      <c r="B10" s="18">
        <f>B9/(1+Assumptions!B26)^(5-0.5*Assumptions!B32)</f>
        <v>1947635294.053059</v>
      </c>
    </row>
    <row r="11" spans="1:2" x14ac:dyDescent="0.25">
      <c r="A11" t="s">
        <v>62</v>
      </c>
      <c r="B11" s="18">
        <f>Forecast!B17+B10</f>
        <v>2976480482.9672394</v>
      </c>
    </row>
    <row r="12" spans="1:2" x14ac:dyDescent="0.25">
      <c r="A12" t="s">
        <v>63</v>
      </c>
      <c r="B12" s="18">
        <f>-Assumptions!B30</f>
        <v>-993400000</v>
      </c>
    </row>
    <row r="13" spans="1:2" x14ac:dyDescent="0.25">
      <c r="A13" t="s">
        <v>64</v>
      </c>
      <c r="B13" s="18">
        <f>B11+B12</f>
        <v>1983080482.9672394</v>
      </c>
    </row>
    <row r="14" spans="1:2" x14ac:dyDescent="0.25">
      <c r="A14" s="19" t="s">
        <v>65</v>
      </c>
      <c r="B14" s="24">
        <f>B13/Assumptions!B31</f>
        <v>1.7035310394014598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576631335.9972783</v>
      </c>
    </row>
    <row r="18" spans="1:2" x14ac:dyDescent="0.25">
      <c r="A18" t="s">
        <v>60</v>
      </c>
      <c r="B18" s="18">
        <f>B17*Assumptions!B13</f>
        <v>4140062671.10062</v>
      </c>
    </row>
    <row r="19" spans="1:2" x14ac:dyDescent="0.25">
      <c r="A19" t="s">
        <v>61</v>
      </c>
      <c r="B19" s="18">
        <f>B18/(1+Assumptions!B26)^(5-0.5*Assumptions!B32)</f>
        <v>3035952454.697087</v>
      </c>
    </row>
    <row r="20" spans="1:2" x14ac:dyDescent="0.25">
      <c r="A20" t="s">
        <v>62</v>
      </c>
      <c r="B20" s="18">
        <f>Forecast!B17+B19</f>
        <v>4064797643.611267</v>
      </c>
    </row>
    <row r="21" spans="1:2" x14ac:dyDescent="0.25">
      <c r="A21" t="s">
        <v>63</v>
      </c>
      <c r="B21" s="18">
        <f>-Assumptions!B30</f>
        <v>-993400000</v>
      </c>
    </row>
    <row r="22" spans="1:2" x14ac:dyDescent="0.25">
      <c r="A22" t="s">
        <v>64</v>
      </c>
      <c r="B22" s="18">
        <f>B20+B21</f>
        <v>3071397643.611267</v>
      </c>
    </row>
    <row r="23" spans="1:2" x14ac:dyDescent="0.25">
      <c r="A23" s="19" t="s">
        <v>65</v>
      </c>
      <c r="B23" s="25">
        <f>B22/Assumptions!B31</f>
        <v>2.6384311000869918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2.06</v>
      </c>
    </row>
    <row r="27" spans="1:3" x14ac:dyDescent="0.25">
      <c r="A27" t="s">
        <v>70</v>
      </c>
      <c r="B27" s="27">
        <v>0.8033</v>
      </c>
      <c r="C27" s="8" t="s">
        <v>71</v>
      </c>
    </row>
    <row r="28" spans="1:2" x14ac:dyDescent="0.25">
      <c r="A28" t="s">
        <v>72</v>
      </c>
      <c r="B28" s="28">
        <f>B14*B27</f>
        <v>1.3684464839511927</v>
      </c>
    </row>
    <row r="29" spans="1:2" x14ac:dyDescent="0.25">
      <c r="A29" s="19" t="s">
        <v>73</v>
      </c>
      <c r="B29" s="12">
        <f>B28/B26-1</f>
        <v>-0.33570559031495495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0.051361</v>
      </c>
      <c r="B5" s="31">
        <v>2.578589965324681</v>
      </c>
      <c r="C5" s="31">
        <v>2.59093299710166</v>
      </c>
      <c r="D5" s="31">
        <v>2.603276028878639</v>
      </c>
      <c r="E5" s="31">
        <v>2.615619060655618</v>
      </c>
      <c r="F5" s="31">
        <v>2.627962092432597</v>
      </c>
    </row>
    <row r="6" spans="1:6" x14ac:dyDescent="0.25">
      <c r="A6" s="30">
        <v>0.061361</v>
      </c>
      <c r="B6" s="31">
        <v>2.061096974262598</v>
      </c>
      <c r="C6" s="31">
        <v>2.070997590079392</v>
      </c>
      <c r="D6" s="31">
        <v>2.080898205896186</v>
      </c>
      <c r="E6" s="31">
        <v>2.09079882171298</v>
      </c>
      <c r="F6" s="31">
        <v>2.1006994375297734</v>
      </c>
    </row>
    <row r="7" spans="1:6" x14ac:dyDescent="0.25">
      <c r="A7" s="30">
        <v>0.071361</v>
      </c>
      <c r="B7" s="31">
        <v>1.6872206633246205</v>
      </c>
      <c r="C7" s="31">
        <v>1.6953820983086672</v>
      </c>
      <c r="D7" s="32">
        <v>1.7035435332927125</v>
      </c>
      <c r="E7" s="31">
        <v>1.7117049682767582</v>
      </c>
      <c r="F7" s="31">
        <v>1.7198664032608044</v>
      </c>
    </row>
    <row r="8" spans="1:6" x14ac:dyDescent="0.25">
      <c r="A8" s="30">
        <v>0.081361</v>
      </c>
      <c r="B8" s="31">
        <v>1.404081679010573</v>
      </c>
      <c r="C8" s="31">
        <v>1.4109468959036489</v>
      </c>
      <c r="D8" s="31">
        <v>1.4178121127967254</v>
      </c>
      <c r="E8" s="31">
        <v>1.4246773296898012</v>
      </c>
      <c r="F8" s="31">
        <v>1.4315425465828777</v>
      </c>
    </row>
    <row r="9" spans="1:6" x14ac:dyDescent="0.25">
      <c r="A9" s="30">
        <v>0.091361</v>
      </c>
      <c r="B9" s="31">
        <v>1.1819477755471413</v>
      </c>
      <c r="C9" s="31">
        <v>1.1878134765424868</v>
      </c>
      <c r="D9" s="31">
        <v>1.1936791775378315</v>
      </c>
      <c r="E9" s="31">
        <v>1.199544878533177</v>
      </c>
      <c r="F9" s="31">
        <v>1.205410579528522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2817300000</v>
      </c>
      <c r="C5" s="18">
        <v>3714500000</v>
      </c>
      <c r="D5" s="18">
        <v>3026600000</v>
      </c>
      <c r="E5" s="18">
        <v>2382800000</v>
      </c>
      <c r="F5" s="8" t="s">
        <v>84</v>
      </c>
    </row>
    <row r="6" spans="1:6" x14ac:dyDescent="0.25">
      <c r="A6" t="s">
        <v>44</v>
      </c>
      <c r="B6" s="18">
        <v>266400000</v>
      </c>
      <c r="C6" s="18">
        <v>210400000</v>
      </c>
      <c r="D6" s="18">
        <v>71800000</v>
      </c>
      <c r="E6" s="18">
        <v>254700000</v>
      </c>
      <c r="F6" s="8" t="s">
        <v>85</v>
      </c>
    </row>
    <row r="7" spans="1:6" x14ac:dyDescent="0.25">
      <c r="A7" t="s">
        <v>86</v>
      </c>
      <c r="B7" s="18">
        <v>247500000</v>
      </c>
      <c r="C7" s="18">
        <v>239100000</v>
      </c>
      <c r="D7" s="18">
        <v>237000000</v>
      </c>
      <c r="E7" s="18">
        <v>254800000</v>
      </c>
      <c r="F7" s="8" t="s">
        <v>87</v>
      </c>
    </row>
    <row r="8" spans="1:6" x14ac:dyDescent="0.25">
      <c r="A8" t="s">
        <v>88</v>
      </c>
      <c r="B8" s="18">
        <v>280800000</v>
      </c>
      <c r="C8" s="18">
        <v>135100000</v>
      </c>
      <c r="D8" s="18">
        <v>151700000</v>
      </c>
      <c r="E8" s="18">
        <v>88100000</v>
      </c>
      <c r="F8" s="8" t="s">
        <v>89</v>
      </c>
    </row>
    <row r="9" spans="1:6" x14ac:dyDescent="0.25">
      <c r="A9" t="s">
        <v>90</v>
      </c>
      <c r="B9" s="18">
        <v>-80100000</v>
      </c>
      <c r="C9" s="18">
        <v>123700000</v>
      </c>
      <c r="D9" s="18">
        <v>-53200000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1138500000</v>
      </c>
      <c r="C10" s="18">
        <v>1489800000</v>
      </c>
      <c r="D10" s="18">
        <v>1450700000</v>
      </c>
      <c r="E10" s="18">
        <v>1366700000</v>
      </c>
      <c r="F10" s="8" t="s">
        <v>93</v>
      </c>
    </row>
    <row r="11" spans="1:6" x14ac:dyDescent="0.25">
      <c r="A11" t="s">
        <v>94</v>
      </c>
      <c r="B11" s="18">
        <v>145100000</v>
      </c>
      <c r="C11" s="18">
        <v>81000000</v>
      </c>
      <c r="D11" s="18">
        <v>192800000</v>
      </c>
      <c r="E11" s="18">
        <v>60100000</v>
      </c>
      <c r="F11" s="8" t="s">
        <v>95</v>
      </c>
    </row>
    <row r="12" spans="1:6" x14ac:dyDescent="0.25">
      <c r="A12" t="s">
        <v>32</v>
      </c>
      <c r="B12" s="34">
        <v>1164100000</v>
      </c>
      <c r="C12" s="34">
        <v>1107444882</v>
      </c>
      <c r="D12" s="34">
        <v>1089479733</v>
      </c>
      <c r="E12" s="34">
        <v>1072631062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2026-09-19T01:04:48Z</dcterms:modified>
</cp:coreProperties>
</file>