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<sst xmlns="http://schemas.openxmlformats.org/spreadsheetml/2006/main" count="121" uniqueCount="108">
  <si>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Generac Holdings Inc. (GNRC)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</si>
  <si>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</si>
  <si>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</si>
  <si>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</si>
  <si>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</si>
  <si>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</si>
  <si>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</si>
  <si>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</si>
  <si>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</si>
  <si>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</si>
  <si>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</si>
  <si>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</si>
  <si>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</si>
  <si>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</si>
  <si>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</si>
  <si>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</si>
  <si>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</si>
  <si>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</si>
  <si>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</si>
  <si>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</si>
  <si>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</si>
  <si>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</si>
  <si>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</si>
  <si>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</si>
  <si>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+ 89bp, the spread for a A- rating at 4.1x interest cover. Book interest / average debt was lower, at 4.8%.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</si>
  <si>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</si>
  <si>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</si>
  <si>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</si>
  <si>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</si>
  <si>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</si>
  <si>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</si>
  <si>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</si>
  <si>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</si>
  <si>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</si>
  <si>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</si>
  <si>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</si>
  <si>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</si>
  <si>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</si>
  <si>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</si>
  <si>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</si>
  <si>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</si>
  <si>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</si>
  <si>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</si>
  <si>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</si>
  <si>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</si>
  <si>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</si>
  <si>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</si>
  <si>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</si>
  <si>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</si>
  <si>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</si>
  <si>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</si>
  <si>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</si>
  <si>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</si>
  <si>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</si>
  <si>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</si>
  <si>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</si>
  <si>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</si>
  <si>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</si>
  <si>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</si>
  <si>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</si>
  <si>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</si>
  <si>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</si>
  <si>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</si>
  <si>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</si>
  <si>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</si>
  <si>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</si>
  <si>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</si>
  <si>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</si>
  <si>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</si>
  <si>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</si>
  <si>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</si>
  <si>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</si>
  <si>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</si>
  <si>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</si>
  <si>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</si>
  <si>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</si>
  <si>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</si>
  <si>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</si>
  <si>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</si>
  <si>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</si>
  <si>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</si>
  <si>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</si>
  <si>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</si>
  <si>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</si>
  <si>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</si>
  <si>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</si>
  <si>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</si>
  <si>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</si>
  <si>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</si>
  <si>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</si>
  <si>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</si>
  <si>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</si>
  <si>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</si>
  <si>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</si>
  <si>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</si>
  <si>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</si>
  <si>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</si>
  <si>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</si>
  <si>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</si>
  <si>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</si>
  <si>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</si>
  <si>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</si>
  <si>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</si>
  <si>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</si>
  <si>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</si>
  <si>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</si>
  <si>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Current EV/EBITDA of 26.5x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</si>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</sst>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0.1706399182542211</v>
      </c>
    </row>
    <row r="7" spans="1:2" x14ac:dyDescent="0.25">
      <c r="A7" t="s">
        <v>4</v>
      </c>
      <c r="B7" s="5">
        <v>0.10343053616342257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0.04047374549662579</v>
      </c>
    </row>
    <row r="10" spans="1:3" x14ac:dyDescent="0.25">
      <c r="A10" t="s">
        <v>7</v>
      </c>
      <c r="B10" s="5">
        <v>0.030786564757040318</v>
      </c>
      <c r="C10" s="6" t="s">
        <v>8</v>
      </c>
    </row>
    <row r="11" spans="1:2" x14ac:dyDescent="0.25">
      <c r="A11" t="s">
        <v>9</v>
      </c>
      <c r="B11" s="5">
        <v>0.33039762938242556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0.10906787408344945</v>
      </c>
      <c r="C14" s="6" t="s">
        <v>13</v>
      </c>
    </row>
    <row r="15" spans="1:3" x14ac:dyDescent="0.25">
      <c r="A15" t="s">
        <v>14</v>
      </c>
      <c r="B15" s="5">
        <v>0.016622523020853316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1.6137199999999998</v>
      </c>
      <c r="C19" s="6" t="s">
        <v>21</v>
      </c>
    </row>
    <row r="20" spans="1:2" x14ac:dyDescent="0.25">
      <c r="A20" t="s">
        <v>22</v>
      </c>
      <c r="B20" s="9">
        <f>B17+B19*B18</f>
        <v>0.117200356</v>
      </c>
    </row>
    <row r="21" spans="1:3" x14ac:dyDescent="0.25">
      <c r="A21" t="s">
        <v>23</v>
      </c>
      <c r="B21" s="5">
        <v>0.05784</v>
      </c>
      <c r="C21" s="6" t="s">
        <v>24</v>
      </c>
    </row>
    <row r="22" spans="1:2" x14ac:dyDescent="0.25">
      <c r="A22" t="s">
        <v>25</v>
      </c>
      <c r="B22" s="10">
        <v>11675566080</v>
      </c>
    </row>
    <row r="23" spans="1:2" x14ac:dyDescent="0.25">
      <c r="A23" t="s">
        <v>26</v>
      </c>
      <c r="B23" s="10">
        <v>1498263000</v>
      </c>
    </row>
    <row r="24" spans="1:2" x14ac:dyDescent="0.25">
      <c r="A24" t="s">
        <v>27</v>
      </c>
      <c r="B24" s="9">
        <f>B22/(B22+B23)</f>
        <v>0.8862697404906669</v>
      </c>
    </row>
    <row r="25" spans="1:2" x14ac:dyDescent="0.25">
      <c r="A25" t="s">
        <v>28</v>
      </c>
      <c r="B25" s="9">
        <f>1-B24</f>
        <v>0.11373025950933313</v>
      </c>
    </row>
    <row r="26" spans="1:2" x14ac:dyDescent="0.25">
      <c r="A26" t="s">
        <v>29</v>
      </c>
      <c r="B26" s="11">
        <f>B24*B20+B25*B21*(1-B8)</f>
        <v>0.10906787408344945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4209147000</v>
      </c>
      <c r="C29" s="6" t="s">
        <v>32</v>
      </c>
    </row>
    <row r="30" spans="1:2" x14ac:dyDescent="0.25">
      <c r="A30" t="s">
        <v>33</v>
      </c>
      <c r="B30" s="10">
        <v>1156850000</v>
      </c>
    </row>
    <row r="31" spans="1:2" x14ac:dyDescent="0.25">
      <c r="A31" t="s">
        <v>34</v>
      </c>
      <c r="B31" s="12">
        <v>59275781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0.1706399182542211</v>
      </c>
      <c r="C5" s="5">
        <v>0.38852461102422153</v>
      </c>
      <c r="D5" s="5">
        <v>0.34308403464619386</v>
      </c>
      <c r="E5" s="5">
        <v>0.2976434582681662</v>
      </c>
      <c r="F5" s="5">
        <v>0.25220288189013845</v>
      </c>
      <c r="G5" s="5">
        <v>0.20676230551211078</v>
      </c>
      <c r="H5" s="5">
        <v>0.1613217291340831</v>
      </c>
      <c r="I5" s="5">
        <v>0.11588115275605537</v>
      </c>
      <c r="J5" s="5">
        <v>0.0704405763780277</v>
      </c>
      <c r="K5" s="5">
        <v>0.025000000000000022</v>
      </c>
    </row>
    <row r="6" spans="1:11" x14ac:dyDescent="0.25">
      <c r="A6" t="s">
        <v>50</v>
      </c>
      <c r="B6" s="18">
        <f>Assumptions!B29*(1+B5)</f>
        <v>4927395500</v>
      </c>
      <c r="C6" s="18">
        <f>B6*(1+C5)</f>
        <v>6841809920</v>
      </c>
      <c r="D6" s="18">
        <f>C6*(1+D5)</f>
        <v>9189125671.635952</v>
      </c>
      <c r="E6" s="18">
        <f>D6*(1+E5)</f>
        <v>11924208815.002462</v>
      </c>
      <c r="F6" s="18">
        <f>E6*(1+F5)</f>
        <v>14931528642.405876</v>
      </c>
      <c r="G6" s="18">
        <f>F6*(1+G5)</f>
        <v>18018805929.329834</v>
      </c>
      <c r="H6" s="18">
        <f>G6*(1+H5)</f>
        <v>20925630858.780792</v>
      </c>
      <c r="I6" s="18">
        <f>H6*(1+I5)</f>
        <v>23350517084.843994</v>
      </c>
      <c r="J6" s="18">
        <f>I6*(1+J5)</f>
        <v>24995340967.025387</v>
      </c>
      <c r="K6" s="18">
        <f>J6*(1+K5)</f>
        <v>25620224491.20102</v>
      </c>
    </row>
    <row r="7" spans="1:11" x14ac:dyDescent="0.25">
      <c r="A7" t="s">
        <v>4</v>
      </c>
      <c r="B7" s="9">
        <f>Assumptions!B7</f>
        <v>0.10343053616342257</v>
      </c>
      <c r="C7" s="9">
        <f>Assumptions!B7</f>
        <v>0.10343053616342257</v>
      </c>
      <c r="D7" s="9">
        <f>Assumptions!B7</f>
        <v>0.10343053616342257</v>
      </c>
      <c r="E7" s="9">
        <f>Assumptions!B7</f>
        <v>0.10343053616342257</v>
      </c>
      <c r="F7" s="9">
        <f>Assumptions!B7</f>
        <v>0.10343053616342257</v>
      </c>
      <c r="G7" s="9">
        <f>Assumptions!B7</f>
        <v>0.10343053616342257</v>
      </c>
      <c r="H7" s="9">
        <f>Assumptions!B7</f>
        <v>0.10343053616342257</v>
      </c>
      <c r="I7" s="9">
        <f>Assumptions!B7</f>
        <v>0.10343053616342257</v>
      </c>
      <c r="J7" s="9">
        <f>Assumptions!B7</f>
        <v>0.10343053616342257</v>
      </c>
      <c r="K7" s="9">
        <f>Assumptions!B7</f>
        <v>0.10343053616342257</v>
      </c>
    </row>
    <row r="8" spans="1:11" x14ac:dyDescent="0.25">
      <c r="A8" t="s">
        <v>51</v>
      </c>
      <c r="B8" s="18">
        <f>B6*B7</f>
        <v>509643158.4542356</v>
      </c>
      <c r="C8" s="18">
        <f>C6*C7</f>
        <v>707652068.3538233</v>
      </c>
      <c r="D8" s="18">
        <f>D6*D7</f>
        <v>950436195.0903771</v>
      </c>
      <c r="E8" s="18">
        <f>E6*E7</f>
        <v>1233327311.0603144</v>
      </c>
      <c r="F8" s="18">
        <f>F6*F7</f>
        <v>1544376013.2235408</v>
      </c>
      <c r="G8" s="18">
        <f>G6*G7</f>
        <v>1863694758.2952425</v>
      </c>
      <c r="H8" s="18">
        <f>H6*H7</f>
        <v>2164349219.281558</v>
      </c>
      <c r="I8" s="18">
        <f>I6*I7</f>
        <v>2415156501.7785735</v>
      </c>
      <c r="J8" s="18">
        <f>J6*J7</f>
        <v>2585281517.806997</v>
      </c>
      <c r="K8" s="18">
        <f>K6*K7</f>
        <v>2649913555.7521715</v>
      </c>
    </row>
    <row r="9" spans="1:11" x14ac:dyDescent="0.25">
      <c r="A9" t="s">
        <v>52</v>
      </c>
      <c r="B9" s="18">
        <f>B8*(1-Assumptions!B8)</f>
        <v>402618095.1788462</v>
      </c>
      <c r="C9" s="18">
        <f>C8*(1-Assumptions!B8)</f>
        <v>559045133.9995204</v>
      </c>
      <c r="D9" s="18">
        <f>D8*(1-Assumptions!B8)</f>
        <v>750844594.121398</v>
      </c>
      <c r="E9" s="18">
        <f>E8*(1-Assumptions!B8)</f>
        <v>974328575.7376485</v>
      </c>
      <c r="F9" s="18">
        <f>F8*(1-Assumptions!B8)</f>
        <v>1220057050.4465973</v>
      </c>
      <c r="G9" s="18">
        <f>G8*(1-Assumptions!B8)</f>
        <v>1472318859.0532417</v>
      </c>
      <c r="H9" s="18">
        <f>H8*(1-Assumptions!B8)</f>
        <v>1709835883.232431</v>
      </c>
      <c r="I9" s="18">
        <f>I8*(1-Assumptions!B8)</f>
        <v>1907973636.4050732</v>
      </c>
      <c r="J9" s="18">
        <f>J8*(1-Assumptions!B8)</f>
        <v>2042372399.0675275</v>
      </c>
      <c r="K9" s="18">
        <f>K8*(1-Assumptions!B8)</f>
        <v>2093431709.0442157</v>
      </c>
    </row>
    <row r="10" spans="1:11" x14ac:dyDescent="0.25">
      <c r="A10" t="s">
        <v>53</v>
      </c>
      <c r="B10" s="18">
        <f>B6*Assumptions!B9</f>
        <v>199430151.42821917</v>
      </c>
      <c r="C10" s="18">
        <f>C6*Assumptions!B9</f>
        <v>276913673.43836963</v>
      </c>
      <c r="D10" s="18">
        <f>D6*Assumptions!B9</f>
        <v>371918333.770304</v>
      </c>
      <c r="E10" s="18">
        <f>E6*Assumptions!B9</f>
        <v>482617392.82703143</v>
      </c>
      <c r="F10" s="18">
        <f>F6*Assumptions!B9</f>
        <v>604334890.1483138</v>
      </c>
      <c r="G10" s="18">
        <f>G6*Assumptions!B9</f>
        <v>729288565.3367875</v>
      </c>
      <c r="H10" s="18">
        <f>H6*Assumptions!B9</f>
        <v>846938657.7346327</v>
      </c>
      <c r="I10" s="18">
        <f>I6*Assumptions!B9</f>
        <v>945082885.7065881</v>
      </c>
      <c r="J10" s="18">
        <f>J6*Assumptions!B9</f>
        <v>1011655068.9007698</v>
      </c>
      <c r="K10" s="18">
        <f>K6*Assumptions!B9</f>
        <v>1036946445.623289</v>
      </c>
    </row>
    <row r="11" spans="1:11" x14ac:dyDescent="0.25">
      <c r="A11" t="s">
        <v>54</v>
      </c>
      <c r="B11" s="18">
        <f>-B6*B19</f>
        <v>-151697580.64429906</v>
      </c>
      <c r="C11" s="18">
        <f>-C6*C19</f>
        <v>-217389547.068958</v>
      </c>
      <c r="D11" s="18">
        <f>-D6*D19</f>
        <v>-301043247.38416773</v>
      </c>
      <c r="E11" s="18">
        <f>-E6*E19</f>
        <v>-402417487.50603354</v>
      </c>
      <c r="F11" s="18">
        <f>-F6*F19</f>
        <v>-518647625.6137151</v>
      </c>
      <c r="G11" s="18">
        <f>-G6*G19</f>
        <v>-643671221.6455225</v>
      </c>
      <c r="H11" s="18">
        <f>-H6*H19</f>
        <v>-768165593.4351157</v>
      </c>
      <c r="I11" s="18">
        <f>-I6*I19</f>
        <v>-880231391.5044147</v>
      </c>
      <c r="J11" s="18">
        <f>-J6*J19</f>
        <v>-966908928.7483602</v>
      </c>
      <c r="K11" s="18">
        <f>-K6*K19</f>
        <v>-1016372020.9144189</v>
      </c>
    </row>
    <row r="12" spans="1:11" x14ac:dyDescent="0.25">
      <c r="A12" t="s">
        <v>55</v>
      </c>
      <c r="B12" s="18">
        <f>-(B6-Assumptions!B29)*Assumptions!B11</f>
        <v>-237307601.70748308</v>
      </c>
      <c r="C12" s="18">
        <f>-(C6-B6)*Assumptions!B11</f>
        <v>-632517986.0235312</v>
      </c>
      <c r="D12" s="18">
        <f>-(D6-C6)*Assumptions!B11</f>
        <v>-775547559.752545</v>
      </c>
      <c r="E12" s="18">
        <f>-(E6-D6)*Assumptions!B11</f>
        <v>-903664986.7321278</v>
      </c>
      <c r="F12" s="18">
        <f>-(F6-E6)*Assumptions!B11</f>
        <v>-993611341.7688531</v>
      </c>
      <c r="G12" s="18">
        <f>-(G6-F6)*Assumptions!B11</f>
        <v>-1020029096.8458822</v>
      </c>
      <c r="H12" s="18">
        <f>-(H6-G6)*Assumptions!B11</f>
        <v>-960408065.720333</v>
      </c>
      <c r="I12" s="18">
        <f>-(I6-H6)*Assumptions!B11</f>
        <v>-801176660.6133784</v>
      </c>
      <c r="J12" s="18">
        <f>-(J6-I6)*Assumptions!B11</f>
        <v>-543445911.4243302</v>
      </c>
      <c r="K12" s="18">
        <f>-(K6-J6)*Assumptions!B11</f>
        <v>-206460035.0277646</v>
      </c>
    </row>
    <row r="13" spans="1:11" x14ac:dyDescent="0.25">
      <c r="A13" s="19" t="s">
        <v>56</v>
      </c>
      <c r="B13" s="20">
        <f>B9+B10+B11+B12</f>
        <v>213043064.2552832</v>
      </c>
      <c r="C13" s="20">
        <f>C9+C10+C11+C12</f>
        <v>-13948725.65459919</v>
      </c>
      <c r="D13" s="20">
        <f>D9+D10+D11+D12</f>
        <v>46172120.75498927</v>
      </c>
      <c r="E13" s="20">
        <f>E9+E10+E11+E12</f>
        <v>150863494.32651854</v>
      </c>
      <c r="F13" s="20">
        <f>F9+F10+F11+F12</f>
        <v>312132973.21234286</v>
      </c>
      <c r="G13" s="20">
        <f>G9+G10+G11+G12</f>
        <v>537907105.8986242</v>
      </c>
      <c r="H13" s="20">
        <f>H9+H10+H11+H12</f>
        <v>828200881.8116151</v>
      </c>
      <c r="I13" s="20">
        <f>I9+I10+I11+I12</f>
        <v>1171648469.9938684</v>
      </c>
      <c r="J13" s="20">
        <f>J9+J10+J11+J12</f>
        <v>1543672627.795607</v>
      </c>
      <c r="K13" s="20">
        <f>K9+K10+K11+K12</f>
        <v>1907546098.7253213</v>
      </c>
    </row>
    <row r="14" spans="1:11" x14ac:dyDescent="0.25">
      <c r="A14" t="s">
        <v>57</v>
      </c>
      <c r="B14" s="21">
        <f>1/(1+Assumptions!$B$26)^(1-0.5*Assumptions!$B$32)</f>
        <v>0.94955677610206</v>
      </c>
      <c r="C14" s="21">
        <f>1/(1+Assumptions!$B$26)^(2-0.5*Assumptions!$B$32)</f>
        <v>0.8561755310844145</v>
      </c>
      <c r="D14" s="21">
        <f>1/(1+Assumptions!$B$26)^(3-0.5*Assumptions!$B$32)</f>
        <v>0.7719775778303659</v>
      </c>
      <c r="E14" s="21">
        <f>1/(1+Assumptions!$B$26)^(4-0.5*Assumptions!$B$32)</f>
        <v>0.6960598137136916</v>
      </c>
      <c r="F14" s="21">
        <f>1/(1+Assumptions!$B$26)^(5-0.5*Assumptions!$B$32)</f>
        <v>0.6276079489624801</v>
      </c>
      <c r="G14" s="21">
        <f>1/(1+Assumptions!$B$26)^(6-0.5*Assumptions!$B$32)</f>
        <v>0.56588777263172</v>
      </c>
      <c r="H14" s="21">
        <f>1/(1+Assumptions!$B$26)^(7-0.5*Assumptions!$B$32)</f>
        <v>0.5102372774969955</v>
      </c>
      <c r="I14" s="21">
        <f>1/(1+Assumptions!$B$26)^(8-0.5*Assumptions!$B$32)</f>
        <v>0.4600595594013247</v>
      </c>
      <c r="J14" s="21">
        <f>1/(1+Assumptions!$B$26)^(9-0.5*Assumptions!$B$32)</f>
        <v>0.414816414893926</v>
      </c>
      <c r="K14" s="21">
        <f>1/(1+Assumptions!$B$26)^(10-0.5*Assumptions!$B$32)</f>
        <v>0.37402256848954046</v>
      </c>
    </row>
    <row r="15" spans="1:11" x14ac:dyDescent="0.25">
      <c r="A15" s="19" t="s">
        <v>58</v>
      </c>
      <c r="B15" s="20">
        <f>B13*B14</f>
        <v>202296485.26515076</v>
      </c>
      <c r="C15" s="20">
        <f>C13*C14</f>
        <v>-11942557.595277257</v>
      </c>
      <c r="D15" s="20">
        <f>D13*D14</f>
        <v>35643841.94372778</v>
      </c>
      <c r="E15" s="20">
        <f>E13*E14</f>
        <v>105010015.75711307</v>
      </c>
      <c r="F15" s="20">
        <f>F13*F14</f>
        <v>195897135.12135923</v>
      </c>
      <c r="G15" s="20">
        <f>G13*G14</f>
        <v>304395054.0397472</v>
      </c>
      <c r="H15" s="20">
        <f>H13*H14</f>
        <v>422578963.1561695</v>
      </c>
      <c r="I15" s="20">
        <f>I13*I14</f>
        <v>539028078.8786153</v>
      </c>
      <c r="J15" s="20">
        <f>J13*J14</f>
        <v>640340745.2320596</v>
      </c>
      <c r="K15" s="20">
        <f>K13*K14</f>
        <v>713465291.3574471</v>
      </c>
    </row>
    <row r="17" spans="1:2" x14ac:dyDescent="0.25">
      <c r="A17" s="22" t="s">
        <v>59</v>
      </c>
      <c r="B17" s="23">
        <f>SUM(B15:K15)</f>
        <v>3146713053.156112</v>
      </c>
    </row>
    <row r="19" spans="1:11" x14ac:dyDescent="0.25">
      <c r="A19" t="s">
        <v>7</v>
      </c>
      <c r="B19" s="9">
        <f>Assumptions!$B$10+($B$20-Assumptions!$B$10)*0/9</f>
        <v>0.030786564757040318</v>
      </c>
      <c r="C19" s="9">
        <f>Assumptions!$B$10+($B$20-Assumptions!$B$10)*1/9</f>
        <v>0.031773689946206225</v>
      </c>
      <c r="D19" s="9">
        <f>Assumptions!$B$10+($B$20-Assumptions!$B$10)*2/9</f>
        <v>0.032760815135372136</v>
      </c>
      <c r="E19" s="9">
        <f>Assumptions!$B$10+($B$20-Assumptions!$B$10)*3/9</f>
        <v>0.03374794032453804</v>
      </c>
      <c r="F19" s="9">
        <f>Assumptions!$B$10+($B$20-Assumptions!$B$10)*4/9</f>
        <v>0.03473506551370395</v>
      </c>
      <c r="G19" s="9">
        <f>Assumptions!$B$10+($B$20-Assumptions!$B$10)*5/9</f>
        <v>0.03572219070286986</v>
      </c>
      <c r="H19" s="9">
        <f>Assumptions!$B$10+($B$20-Assumptions!$B$10)*6/9</f>
        <v>0.036709315892035764</v>
      </c>
      <c r="I19" s="9">
        <f>Assumptions!$B$10+($B$20-Assumptions!$B$10)*7/9</f>
        <v>0.037696441081201675</v>
      </c>
      <c r="J19" s="9">
        <f>Assumptions!$B$10+($B$20-Assumptions!$B$10)*8/9</f>
        <v>0.03868356627036758</v>
      </c>
      <c r="K19" s="9">
        <f>Assumptions!$B$10+($B$20-Assumptions!$B$10)*9/9</f>
        <v>0.03967069145953349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0.03967069145953349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1907546098.7253213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2576179911.677123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0.22921506639867326</v>
      </c>
    </row>
    <row r="7" spans="1:2" x14ac:dyDescent="0.25">
      <c r="A7" t="s">
        <v>66</v>
      </c>
      <c r="B7" s="18">
        <f>-MAX(B5,0)*B6</f>
        <v>-590499249.51</v>
      </c>
    </row>
    <row r="8" spans="1:2" x14ac:dyDescent="0.25">
      <c r="A8" t="s">
        <v>67</v>
      </c>
      <c r="B8" s="18">
        <f>IF(OR(Assumptions!$B$33=0,Assumptions!B12&lt;=0),B5,MAX(B5+B7,0))</f>
        <v>1985680662.167123</v>
      </c>
    </row>
    <row r="9" spans="1:2" x14ac:dyDescent="0.25">
      <c r="A9" t="s">
        <v>68</v>
      </c>
      <c r="B9" s="18">
        <f>B8*(1+Assumptions!B12)/(Assumptions!B26-Assumptions!B12)</f>
        <v>24210469229.909996</v>
      </c>
    </row>
    <row r="10" spans="1:2" x14ac:dyDescent="0.25">
      <c r="A10" t="s">
        <v>69</v>
      </c>
      <c r="B10" s="18">
        <f>B9/(1+Assumptions!B26)^(10-0.5*Assumptions!B32)</f>
        <v>9055261885.707924</v>
      </c>
    </row>
    <row r="11" spans="1:2" x14ac:dyDescent="0.25">
      <c r="A11" t="s">
        <v>70</v>
      </c>
      <c r="B11" s="18">
        <f>Forecast!B17+B10</f>
        <v>12201974938.864037</v>
      </c>
    </row>
    <row r="12" spans="1:2" x14ac:dyDescent="0.25">
      <c r="A12" t="s">
        <v>71</v>
      </c>
      <c r="B12" s="18">
        <f>-Assumptions!B30</f>
        <v>-1156850000</v>
      </c>
    </row>
    <row r="13" spans="1:2" x14ac:dyDescent="0.25">
      <c r="A13" t="s">
        <v>72</v>
      </c>
      <c r="B13" s="18">
        <f>B11+B12</f>
        <v>11045124938.864037</v>
      </c>
    </row>
    <row r="14" spans="1:2" x14ac:dyDescent="0.25">
      <c r="A14" s="19" t="s">
        <v>73</v>
      </c>
      <c r="B14" s="24">
        <f>B13/Assumptions!B31</f>
        <v>186.33453246046705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3686860001.3754606</v>
      </c>
    </row>
    <row r="18" spans="1:2" x14ac:dyDescent="0.25">
      <c r="A18" t="s">
        <v>68</v>
      </c>
      <c r="B18" s="18">
        <f>B17*Assumptions!B13</f>
        <v>73737200027.50922</v>
      </c>
    </row>
    <row r="19" spans="1:2" x14ac:dyDescent="0.25">
      <c r="A19" t="s">
        <v>69</v>
      </c>
      <c r="B19" s="18">
        <f>B18/(1+Assumptions!B26)^(10-0.5*Assumptions!B32)</f>
        <v>27579376947.51601</v>
      </c>
    </row>
    <row r="20" spans="1:2" x14ac:dyDescent="0.25">
      <c r="A20" t="s">
        <v>70</v>
      </c>
      <c r="B20" s="18">
        <f>Forecast!B17+B19</f>
        <v>30726090000.672123</v>
      </c>
    </row>
    <row r="21" spans="1:2" x14ac:dyDescent="0.25">
      <c r="A21" t="s">
        <v>71</v>
      </c>
      <c r="B21" s="18">
        <f>-Assumptions!B30</f>
        <v>-1156850000</v>
      </c>
    </row>
    <row r="22" spans="1:2" x14ac:dyDescent="0.25">
      <c r="A22" t="s">
        <v>72</v>
      </c>
      <c r="B22" s="18">
        <f>B20+B21</f>
        <v>29569240000.672123</v>
      </c>
    </row>
    <row r="23" spans="1:2" x14ac:dyDescent="0.25">
      <c r="A23" s="19" t="s">
        <v>73</v>
      </c>
      <c r="B23" s="25">
        <f>B22/Assumptions!B31</f>
        <v>498.84184572232164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197.93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186.33453246046705</v>
      </c>
    </row>
    <row r="29" spans="1:2" x14ac:dyDescent="0.25">
      <c r="A29" s="19" t="s">
        <v>81</v>
      </c>
      <c r="B29" s="11">
        <f>B28/B26-1</f>
        <v>-0.058583678772965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0.089068</v>
      </c>
      <c r="B5" s="31">
        <v>271.2146372912762</v>
      </c>
      <c r="C5" s="31">
        <v>268.78635554578835</v>
      </c>
      <c r="D5" s="31">
        <v>266.5910513727208</v>
      </c>
      <c r="E5" s="31">
        <v>264.68788816995914</v>
      </c>
      <c r="F5" s="31">
        <v>263.1579141463253</v>
      </c>
    </row>
    <row r="6" spans="1:6" x14ac:dyDescent="0.25">
      <c r="A6" s="30">
        <v>0.099068</v>
      </c>
      <c r="B6" s="31">
        <v>225.48355770034013</v>
      </c>
      <c r="C6" s="31">
        <v>221.89911497961646</v>
      </c>
      <c r="D6" s="31">
        <v>218.31467225889278</v>
      </c>
      <c r="E6" s="31">
        <v>214.73022953816903</v>
      </c>
      <c r="F6" s="31">
        <v>211.14578681744538</v>
      </c>
    </row>
    <row r="7" spans="1:6" x14ac:dyDescent="0.25">
      <c r="A7" s="30">
        <v>0.109068</v>
      </c>
      <c r="B7" s="31">
        <v>192.4797627449224</v>
      </c>
      <c r="C7" s="31">
        <v>189.40696688641677</v>
      </c>
      <c r="D7" s="32">
        <v>186.3341710279111</v>
      </c>
      <c r="E7" s="31">
        <v>183.26137516940557</v>
      </c>
      <c r="F7" s="31">
        <v>180.18857931089988</v>
      </c>
    </row>
    <row r="8" spans="1:6" x14ac:dyDescent="0.25">
      <c r="A8" s="30">
        <v>0.119068</v>
      </c>
      <c r="B8" s="31">
        <v>165.6569972199442</v>
      </c>
      <c r="C8" s="31">
        <v>162.99837822661536</v>
      </c>
      <c r="D8" s="31">
        <v>160.3397592332865</v>
      </c>
      <c r="E8" s="31">
        <v>157.6811402399576</v>
      </c>
      <c r="F8" s="31">
        <v>155.02252124662877</v>
      </c>
    </row>
    <row r="9" spans="1:6" x14ac:dyDescent="0.25">
      <c r="A9" s="30">
        <v>0.129068</v>
      </c>
      <c r="B9" s="31">
        <v>143.53355355215027</v>
      </c>
      <c r="C9" s="31">
        <v>141.21514021816205</v>
      </c>
      <c r="D9" s="31">
        <v>138.8967268841739</v>
      </c>
      <c r="E9" s="31">
        <v>136.5783135501857</v>
      </c>
      <c r="F9" s="31">
        <v>134.25990021619748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4209147000</v>
      </c>
      <c r="C5" s="18">
        <v>4295834000</v>
      </c>
      <c r="D5" s="18">
        <v>4022667000</v>
      </c>
      <c r="E5" s="18">
        <v>4564737000</v>
      </c>
      <c r="F5" s="6" t="s">
        <v>91</v>
      </c>
    </row>
    <row r="6" spans="1:6" x14ac:dyDescent="0.25">
      <c r="A6" t="s">
        <v>51</v>
      </c>
      <c r="B6" s="18">
        <v>289191000</v>
      </c>
      <c r="C6" s="18">
        <v>536742000</v>
      </c>
      <c r="D6" s="18">
        <v>386199000</v>
      </c>
      <c r="E6" s="18">
        <v>566330000</v>
      </c>
      <c r="F6" s="6" t="s">
        <v>92</v>
      </c>
    </row>
    <row r="7" spans="1:6" x14ac:dyDescent="0.25">
      <c r="A7" t="s">
        <v>93</v>
      </c>
      <c r="B7" s="18">
        <v>194835000</v>
      </c>
      <c r="C7" s="18">
        <v>171768000</v>
      </c>
      <c r="D7" s="18">
        <v>166602000</v>
      </c>
      <c r="E7" s="18">
        <v>156141000</v>
      </c>
      <c r="F7" s="6" t="s">
        <v>94</v>
      </c>
    </row>
    <row r="8" spans="1:6" x14ac:dyDescent="0.25">
      <c r="A8" t="s">
        <v>95</v>
      </c>
      <c r="B8" s="18">
        <v>169850000</v>
      </c>
      <c r="C8" s="18">
        <v>136733000</v>
      </c>
      <c r="D8" s="18">
        <v>129060000</v>
      </c>
      <c r="E8" s="18">
        <v>86188000</v>
      </c>
      <c r="F8" s="6" t="s">
        <v>96</v>
      </c>
    </row>
    <row r="9" spans="1:6" x14ac:dyDescent="0.25">
      <c r="A9" t="s">
        <v>97</v>
      </c>
      <c r="B9" s="18">
        <v>13123000</v>
      </c>
      <c r="C9" s="18">
        <v>-216964000</v>
      </c>
      <c r="D9" s="18">
        <v>-128389000</v>
      </c>
      <c r="E9" s="18">
        <v>448325000</v>
      </c>
      <c r="F9" s="6" t="s">
        <v>98</v>
      </c>
    </row>
    <row r="10" spans="1:6" x14ac:dyDescent="0.25">
      <c r="A10" t="s">
        <v>99</v>
      </c>
      <c r="B10" s="18">
        <v>1498263000</v>
      </c>
      <c r="C10" s="18">
        <v>1475737000</v>
      </c>
      <c r="D10" s="18">
        <v>1733566000</v>
      </c>
      <c r="E10" s="18">
        <v>1599998000</v>
      </c>
      <c r="F10" s="6" t="s">
        <v>100</v>
      </c>
    </row>
    <row r="11" spans="1:6" x14ac:dyDescent="0.25">
      <c r="A11" t="s">
        <v>101</v>
      </c>
      <c r="B11" s="18">
        <v>341413000</v>
      </c>
      <c r="C11" s="18">
        <v>281277000</v>
      </c>
      <c r="D11" s="18">
        <v>200994000</v>
      </c>
      <c r="E11" s="18">
        <v>132723000</v>
      </c>
      <c r="F11" s="6" t="s">
        <v>102</v>
      </c>
    </row>
    <row r="12" spans="1:6" x14ac:dyDescent="0.25">
      <c r="A12" t="s">
        <v>34</v>
      </c>
      <c r="B12" s="34">
        <v>59275781</v>
      </c>
      <c r="C12" s="34">
        <v>60350412</v>
      </c>
      <c r="D12" s="34">
        <v>62058387</v>
      </c>
      <c r="E12" s="34">
        <v>64681357</v>
      </c>
      <c r="F12" s="6" t="s">
        <v>103</v>
      </c>
    </row>
    <row r="15" spans="1:1" x14ac:dyDescent="0.25">
      <c r="A15" s="19" t="s">
        <v>104</v>
      </c>
    </row>
    <row r="16" ht="22" customHeight="1" spans="1:6" x14ac:dyDescent="0.25">
      <c r="A16" s="35" t="s">
        <v>105</v>
      </c>
      <c r="B16" s="35"/>
      <c r="C16" s="35"/>
      <c r="D16" s="35"/>
      <c r="E16" s="35"/>
      <c r="F16" s="35"/>
    </row>
    <row r="17" ht="38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