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<sst xmlns="http://schemas.openxmlformats.org/spreadsheetml/2006/main" count="112" uniqueCount="100">
  <si>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Generac Holdings Inc. (GNRC)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</si>
  <si>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</si>
  <si>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</si>
  <si>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</si>
  <si>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</si>
  <si>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</si>
  <si>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</si>
  <si>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</si>
  <si>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</si>
  <si>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</si>
  <si>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</si>
  <si>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</si>
  <si>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</si>
  <si>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</si>
  <si>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</si>
  <si>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</si>
  <si>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</si>
  <si>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</si>
  <si>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</si>
  <si>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</si>
  <si>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</si>
  <si>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</si>
  <si>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</si>
  <si>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</si>
  <si>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</si>
  <si>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</si>
  <si>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</si>
  <si>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</si>
  <si>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</si>
  <si>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</si>
  <si>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</si>
  <si>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</si>
  <si>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</si>
  <si>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</si>
  <si>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</si>
  <si>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</si>
  <si>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</si>
  <si>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</si>
  <si>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</si>
  <si>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</si>
  <si>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</si>
  <si>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</si>
  <si>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</si>
  <si>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</si>
  <si>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</si>
  <si>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</si>
  <si>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</si>
  <si>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</si>
  <si>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</si>
  <si>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</si>
  <si>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</si>
  <si>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</si>
  <si>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</si>
  <si>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</si>
  <si>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</si>
  <si>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</si>
  <si>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</si>
  <si>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</si>
  <si>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</si>
  <si>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</si>
  <si>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</si>
  <si>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</si>
  <si>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</si>
  <si>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</si>
  <si>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</si>
  <si>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</si>
  <si>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</si>
  <si>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</si>
  <si>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</si>
  <si>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</si>
  <si>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</si>
  <si>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</si>
  <si>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</si>
  <si>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</si>
  <si>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</si>
  <si>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</si>
  <si>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</si>
  <si>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</si>
  <si>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</si>
  <si>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</si>
  <si>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</si>
  <si>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</si>
  <si>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</si>
  <si>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</si>
  <si>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</si>
  <si>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</si>
  <si>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</si>
  <si>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</si>
  <si>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</si>
  <si>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</si>
  <si>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</si>
  <si>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</si>
  <si>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</si>
  <si>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</si>
  <si>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</si>
  <si>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</si>
  <si>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</si>
  <si>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</si>
  <si>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27.7x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</si>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</sst>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-0.026671490695003963</v>
      </c>
    </row>
    <row r="7" spans="1:2" x14ac:dyDescent="0.25">
      <c r="A7" t="s">
        <v>5</v>
      </c>
      <c r="B7" s="6">
        <v>0.10343053616342257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0.04047374549662579</v>
      </c>
    </row>
    <row r="10" spans="1:2" x14ac:dyDescent="0.25">
      <c r="A10" t="s">
        <v>8</v>
      </c>
      <c r="B10" s="6">
        <v>0.030786564757040318</v>
      </c>
    </row>
    <row r="11" spans="1:2" x14ac:dyDescent="0.25">
      <c r="A11" t="s">
        <v>9</v>
      </c>
      <c r="B11" s="6">
        <v>-0.15138371382098814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0.1278216999005924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1.61171</v>
      </c>
      <c r="C19" s="8" t="s">
        <v>19</v>
      </c>
    </row>
    <row r="20" spans="1:2" x14ac:dyDescent="0.25">
      <c r="A20" t="s">
        <v>20</v>
      </c>
      <c r="B20" s="10">
        <f>B17+B19*B18</f>
        <v>0.13862405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12252223488</v>
      </c>
    </row>
    <row r="23" spans="1:2" x14ac:dyDescent="0.25">
      <c r="A23" t="s">
        <v>24</v>
      </c>
      <c r="B23" s="11">
        <v>1498263000</v>
      </c>
    </row>
    <row r="24" spans="1:2" x14ac:dyDescent="0.25">
      <c r="A24" t="s">
        <v>25</v>
      </c>
      <c r="B24" s="10">
        <f>B22/(B22+B23)</f>
        <v>0.8910392733153457</v>
      </c>
    </row>
    <row r="25" spans="1:2" x14ac:dyDescent="0.25">
      <c r="A25" t="s">
        <v>26</v>
      </c>
      <c r="B25" s="10">
        <f>1-B24</f>
        <v>0.10896072668465429</v>
      </c>
    </row>
    <row r="26" spans="1:2" x14ac:dyDescent="0.25">
      <c r="A26" t="s">
        <v>27</v>
      </c>
      <c r="B26" s="12">
        <f>B24*B20+B25*B21*(1-B8)</f>
        <v>0.1278216999005924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4209147000</v>
      </c>
      <c r="C29" s="8" t="s">
        <v>30</v>
      </c>
    </row>
    <row r="30" spans="1:2" x14ac:dyDescent="0.25">
      <c r="A30" t="s">
        <v>31</v>
      </c>
      <c r="B30" s="11">
        <v>1156850000</v>
      </c>
    </row>
    <row r="31" spans="1:2" x14ac:dyDescent="0.25">
      <c r="A31" t="s">
        <v>32</v>
      </c>
      <c r="B31" s="13">
        <v>59275781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-0.026671490695003963</v>
      </c>
      <c r="C5" s="10">
        <f>Assumptions!B6</f>
        <v>-0.026671490695003963</v>
      </c>
      <c r="D5" s="10">
        <f>Assumptions!B6</f>
        <v>-0.026671490695003963</v>
      </c>
      <c r="E5" s="10">
        <f>Assumptions!B6</f>
        <v>-0.026671490695003963</v>
      </c>
      <c r="F5" s="10">
        <f>Assumptions!B6</f>
        <v>-0.026671490695003963</v>
      </c>
    </row>
    <row r="6" spans="1:6" x14ac:dyDescent="0.25">
      <c r="A6" t="s">
        <v>43</v>
      </c>
      <c r="B6" s="18">
        <f>Assumptions!B29*(1+B5)</f>
        <v>4096882774.955596</v>
      </c>
      <c r="C6" s="18">
        <f>B6*(1+C5)</f>
        <v>3987612804.144846</v>
      </c>
      <c r="D6" s="18">
        <f>C6*(1+D5)</f>
        <v>3881257226.343818</v>
      </c>
      <c r="E6" s="18">
        <f>D6*(1+E5)</f>
        <v>3777738310.3464723</v>
      </c>
      <c r="F6" s="18">
        <f>E6*(1+F5)</f>
        <v>3676980398.1539063</v>
      </c>
    </row>
    <row r="7" spans="1:6" x14ac:dyDescent="0.25">
      <c r="A7" t="s">
        <v>5</v>
      </c>
      <c r="B7" s="10">
        <f>Assumptions!B7</f>
        <v>0.10343053616342257</v>
      </c>
      <c r="C7" s="10">
        <f>Assumptions!B7</f>
        <v>0.10343053616342257</v>
      </c>
      <c r="D7" s="10">
        <f>Assumptions!B7</f>
        <v>0.10343053616342257</v>
      </c>
      <c r="E7" s="10">
        <f>Assumptions!B7</f>
        <v>0.10343053616342257</v>
      </c>
      <c r="F7" s="10">
        <f>Assumptions!B7</f>
        <v>0.10343053616342257</v>
      </c>
    </row>
    <row r="8" spans="1:6" x14ac:dyDescent="0.25">
      <c r="A8" t="s">
        <v>44</v>
      </c>
      <c r="B8" s="18">
        <f>B6*B7</f>
        <v>423742782.01234776</v>
      </c>
      <c r="C8" s="18">
        <f>C6*C7</f>
        <v>412440930.3448304</v>
      </c>
      <c r="D8" s="18">
        <f>D6*D7</f>
        <v>401440515.9088995</v>
      </c>
      <c r="E8" s="18">
        <f>E6*E7</f>
        <v>390733498.92423767</v>
      </c>
      <c r="F8" s="18">
        <f>F6*F7</f>
        <v>380312054.0434535</v>
      </c>
    </row>
    <row r="9" spans="1:6" x14ac:dyDescent="0.25">
      <c r="A9" t="s">
        <v>45</v>
      </c>
      <c r="B9" s="18">
        <f>B8*(1-Assumptions!B8)</f>
        <v>334756797.78975475</v>
      </c>
      <c r="C9" s="18">
        <f>C8*(1-Assumptions!B8)</f>
        <v>325828334.97241604</v>
      </c>
      <c r="D9" s="18">
        <f>D8*(1-Assumptions!B8)</f>
        <v>317138007.5680306</v>
      </c>
      <c r="E9" s="18">
        <f>E8*(1-Assumptions!B8)</f>
        <v>308679464.1501478</v>
      </c>
      <c r="F9" s="18">
        <f>F8*(1-Assumptions!B8)</f>
        <v>300446522.6943283</v>
      </c>
    </row>
    <row r="10" spans="1:6" x14ac:dyDescent="0.25">
      <c r="A10" t="s">
        <v>46</v>
      </c>
      <c r="B10" s="18">
        <f>B6*Assumptions!B9</f>
        <v>165816190.7630628</v>
      </c>
      <c r="C10" s="18">
        <f>C6*Assumptions!B9</f>
        <v>161393625.77404478</v>
      </c>
      <c r="D10" s="18">
        <f>D6*Assumptions!B9</f>
        <v>157089017.1859794</v>
      </c>
      <c r="E10" s="18">
        <f>E6*Assumptions!B9</f>
        <v>152899218.92581624</v>
      </c>
      <c r="F10" s="18">
        <f>F6*Assumptions!B9</f>
        <v>148821168.83096296</v>
      </c>
    </row>
    <row r="11" spans="1:6" x14ac:dyDescent="0.25">
      <c r="A11" t="s">
        <v>47</v>
      </c>
      <c r="B11" s="18">
        <f>-B6*Assumptions!B10</f>
        <v>-126128946.8531735</v>
      </c>
      <c r="C11" s="18">
        <f>-C6*Assumptions!B10</f>
        <v>-122764899.82080843</v>
      </c>
      <c r="D11" s="18">
        <f>-D6*Assumptions!B10</f>
        <v>-119490576.93756466</v>
      </c>
      <c r="E11" s="18">
        <f>-E6*Assumptions!B10</f>
        <v>-116303585.12663375</v>
      </c>
      <c r="F11" s="18">
        <f>-F6*Assumptions!B10</f>
        <v>-113201595.13813312</v>
      </c>
    </row>
    <row r="12" spans="1:6" x14ac:dyDescent="0.25">
      <c r="A12" t="s">
        <v>48</v>
      </c>
      <c r="B12" s="18">
        <f>-(B6-Assumptions!B29)*Assumptions!B11</f>
        <v>-16994975.31645707</v>
      </c>
      <c r="C12" s="18">
        <f>-(C6-B6)*Assumptions!B11</f>
        <v>-16541693.990442308</v>
      </c>
      <c r="D12" s="18">
        <f>-(D6-C6)*Assumptions!B11</f>
        <v>-16100502.353096629</v>
      </c>
      <c r="E12" s="18">
        <f>-(E6-D6)*Assumptions!B11</f>
        <v>-15671077.954401126</v>
      </c>
      <c r="F12" s="18">
        <f>-(F6-E6)*Assumptions!B11</f>
        <v>-15253106.94455965</v>
      </c>
    </row>
    <row r="13" spans="1:6" x14ac:dyDescent="0.25">
      <c r="A13" s="19" t="s">
        <v>49</v>
      </c>
      <c r="B13" s="20">
        <f>B9+B10+B11+B12</f>
        <v>357449066.383187</v>
      </c>
      <c r="C13" s="20">
        <f>C9+C10+C11+C12</f>
        <v>347915366.93521005</v>
      </c>
      <c r="D13" s="20">
        <f>D9+D10+D11+D12</f>
        <v>338635945.4633487</v>
      </c>
      <c r="E13" s="20">
        <f>E9+E10+E11+E12</f>
        <v>329604019.99492913</v>
      </c>
      <c r="F13" s="20">
        <f>F9+F10+F11+F12</f>
        <v>320812989.4425985</v>
      </c>
    </row>
    <row r="14" spans="1:6" x14ac:dyDescent="0.25">
      <c r="A14" t="s">
        <v>50</v>
      </c>
      <c r="B14" s="21">
        <f>1/(1+Assumptions!$B$26)^(1-0.5*Assumptions!$B$32)</f>
        <v>0.9416288948302061</v>
      </c>
      <c r="C14" s="21">
        <f>1/(1+Assumptions!$B$26)^(2-0.5*Assumptions!$B$32)</f>
        <v>0.8349093610392515</v>
      </c>
      <c r="D14" s="21">
        <f>1/(1+Assumptions!$B$26)^(3-0.5*Assumptions!$B$32)</f>
        <v>0.7402848882166759</v>
      </c>
      <c r="E14" s="21">
        <f>1/(1+Assumptions!$B$26)^(4-0.5*Assumptions!$B$32)</f>
        <v>0.6563846823322567</v>
      </c>
      <c r="F14" s="21">
        <f>1/(1+Assumptions!$B$26)^(5-0.5*Assumptions!$B$32)</f>
        <v>0.581993308330662</v>
      </c>
    </row>
    <row r="15" spans="1:6" x14ac:dyDescent="0.25">
      <c r="A15" s="19" t="s">
        <v>51</v>
      </c>
      <c r="B15" s="20">
        <f>B13*B14</f>
        <v>336584369.3364893</v>
      </c>
      <c r="C15" s="20">
        <f>C13*C14</f>
        <v>290477796.7036129</v>
      </c>
      <c r="D15" s="20">
        <f>D13*D14</f>
        <v>250687073.03348345</v>
      </c>
      <c r="E15" s="20">
        <f>E13*E14</f>
        <v>216347029.95980632</v>
      </c>
      <c r="F15" s="20">
        <f>F13*F14</f>
        <v>186711013.08114764</v>
      </c>
    </row>
    <row r="17" spans="1:2" x14ac:dyDescent="0.25">
      <c r="A17" s="22" t="s">
        <v>52</v>
      </c>
      <c r="B17" s="23">
        <f>SUM(B15:F15)</f>
        <v>1280807282.1145396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320812989.4425985</v>
      </c>
    </row>
    <row r="5" spans="1:2" x14ac:dyDescent="0.25">
      <c r="A5" t="s">
        <v>56</v>
      </c>
      <c r="B5" s="18">
        <f>IF(Assumptions!$B$33=0,B4,B4-Forecast!F11-Forecast!F10-Forecast!F12)</f>
        <v>369729899.93151265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0.19558494386667236</v>
      </c>
    </row>
    <row r="7" spans="1:2" x14ac:dyDescent="0.25">
      <c r="A7" t="s">
        <v>58</v>
      </c>
      <c r="B7" s="18">
        <f>-MAX(Forecast!F9,0)*B6</f>
        <v>-72313601.72393529</v>
      </c>
    </row>
    <row r="8" spans="1:2" x14ac:dyDescent="0.25">
      <c r="A8" t="s">
        <v>59</v>
      </c>
      <c r="B8" s="18">
        <f>IF(OR(Assumptions!$B$33=0,Assumptions!B12&lt;=0),B5,MAX(B5+B7,0))</f>
        <v>297416298.20757735</v>
      </c>
    </row>
    <row r="9" spans="1:2" x14ac:dyDescent="0.25">
      <c r="A9" t="s">
        <v>60</v>
      </c>
      <c r="B9" s="18">
        <f>B8*(1+Assumptions!B12)/(Assumptions!B26-Assumptions!B12)</f>
        <v>2964857670.681346</v>
      </c>
    </row>
    <row r="10" spans="1:2" x14ac:dyDescent="0.25">
      <c r="A10" t="s">
        <v>61</v>
      </c>
      <c r="B10" s="18">
        <f>B9/(1+Assumptions!B26)^(5-0.5*Assumptions!B32)</f>
        <v>1725527324.4893768</v>
      </c>
    </row>
    <row r="11" spans="1:2" x14ac:dyDescent="0.25">
      <c r="A11" t="s">
        <v>62</v>
      </c>
      <c r="B11" s="18">
        <f>Forecast!B17+B10</f>
        <v>3006334606.603916</v>
      </c>
    </row>
    <row r="12" spans="1:2" x14ac:dyDescent="0.25">
      <c r="A12" t="s">
        <v>63</v>
      </c>
      <c r="B12" s="18">
        <f>-Assumptions!B30</f>
        <v>-1156850000</v>
      </c>
    </row>
    <row r="13" spans="1:2" x14ac:dyDescent="0.25">
      <c r="A13" t="s">
        <v>64</v>
      </c>
      <c r="B13" s="18">
        <f>B11+B12</f>
        <v>1849484606.6039162</v>
      </c>
    </row>
    <row r="14" spans="1:2" x14ac:dyDescent="0.25">
      <c r="A14" s="19" t="s">
        <v>65</v>
      </c>
      <c r="B14" s="24">
        <f>B13/Assumptions!B31</f>
        <v>31.20135366253405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529133222.8744165</v>
      </c>
    </row>
    <row r="18" spans="1:2" x14ac:dyDescent="0.25">
      <c r="A18" t="s">
        <v>60</v>
      </c>
      <c r="B18" s="18">
        <f>B17*Assumptions!B13</f>
        <v>10582664457.488329</v>
      </c>
    </row>
    <row r="19" spans="1:2" x14ac:dyDescent="0.25">
      <c r="A19" t="s">
        <v>61</v>
      </c>
      <c r="B19" s="18">
        <f>B18/(1+Assumptions!B26)^(5-0.5*Assumptions!B32)</f>
        <v>6159039898.566943</v>
      </c>
    </row>
    <row r="20" spans="1:2" x14ac:dyDescent="0.25">
      <c r="A20" t="s">
        <v>62</v>
      </c>
      <c r="B20" s="18">
        <f>Forecast!B17+B19</f>
        <v>7439847180.681482</v>
      </c>
    </row>
    <row r="21" spans="1:2" x14ac:dyDescent="0.25">
      <c r="A21" t="s">
        <v>63</v>
      </c>
      <c r="B21" s="18">
        <f>-Assumptions!B30</f>
        <v>-1156850000</v>
      </c>
    </row>
    <row r="22" spans="1:2" x14ac:dyDescent="0.25">
      <c r="A22" t="s">
        <v>64</v>
      </c>
      <c r="B22" s="18">
        <f>B20+B21</f>
        <v>6282997180.681482</v>
      </c>
    </row>
    <row r="23" spans="1:2" x14ac:dyDescent="0.25">
      <c r="A23" s="19" t="s">
        <v>65</v>
      </c>
      <c r="B23" s="25">
        <f>B22/Assumptions!B31</f>
        <v>105.99602526842257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207.44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31.20135366253405</v>
      </c>
    </row>
    <row r="29" spans="1:2" x14ac:dyDescent="0.25">
      <c r="A29" s="19" t="s">
        <v>73</v>
      </c>
      <c r="B29" s="12">
        <f>B28/B26-1</f>
        <v>-0.8495885380710854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0.107822</v>
      </c>
      <c r="B5" s="31">
        <v>40.007256805949986</v>
      </c>
      <c r="C5" s="31">
        <v>40.1897114722015</v>
      </c>
      <c r="D5" s="31">
        <v>40.372166138453</v>
      </c>
      <c r="E5" s="31">
        <v>40.55462080470452</v>
      </c>
      <c r="F5" s="31">
        <v>40.737075470956036</v>
      </c>
    </row>
    <row r="6" spans="1:6" x14ac:dyDescent="0.25">
      <c r="A6" s="30">
        <v>0.117822</v>
      </c>
      <c r="B6" s="31">
        <v>35.0734435877486</v>
      </c>
      <c r="C6" s="31">
        <v>35.233795434048005</v>
      </c>
      <c r="D6" s="31">
        <v>35.39414728034739</v>
      </c>
      <c r="E6" s="31">
        <v>35.554499126646796</v>
      </c>
      <c r="F6" s="31">
        <v>35.714850972946195</v>
      </c>
    </row>
    <row r="7" spans="1:6" x14ac:dyDescent="0.25">
      <c r="A7" s="30">
        <v>0.127822</v>
      </c>
      <c r="B7" s="31">
        <v>30.91723723592159</v>
      </c>
      <c r="C7" s="31">
        <v>31.059237501095545</v>
      </c>
      <c r="D7" s="32">
        <v>31.201237766269507</v>
      </c>
      <c r="E7" s="31">
        <v>31.34323803144347</v>
      </c>
      <c r="F7" s="31">
        <v>31.485238296617418</v>
      </c>
    </row>
    <row r="8" spans="1:6" x14ac:dyDescent="0.25">
      <c r="A8" s="30">
        <v>0.137822</v>
      </c>
      <c r="B8" s="31">
        <v>27.369013871574566</v>
      </c>
      <c r="C8" s="31">
        <v>27.49558197570391</v>
      </c>
      <c r="D8" s="31">
        <v>27.622150079833254</v>
      </c>
      <c r="E8" s="31">
        <v>27.748718183962602</v>
      </c>
      <c r="F8" s="31">
        <v>27.875286288091928</v>
      </c>
    </row>
    <row r="9" spans="1:6" x14ac:dyDescent="0.25">
      <c r="A9" s="30">
        <v>0.147822</v>
      </c>
      <c r="B9" s="31">
        <v>24.305072184826866</v>
      </c>
      <c r="C9" s="31">
        <v>24.418521732484642</v>
      </c>
      <c r="D9" s="31">
        <v>24.531971280142415</v>
      </c>
      <c r="E9" s="31">
        <v>24.645420827800184</v>
      </c>
      <c r="F9" s="31">
        <v>24.758870375457953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4209147000</v>
      </c>
      <c r="C5" s="18">
        <v>4295834000</v>
      </c>
      <c r="D5" s="18">
        <v>4022667000</v>
      </c>
      <c r="E5" s="18">
        <v>4564737000</v>
      </c>
      <c r="F5" s="8" t="s">
        <v>84</v>
      </c>
    </row>
    <row r="6" spans="1:6" x14ac:dyDescent="0.25">
      <c r="A6" t="s">
        <v>44</v>
      </c>
      <c r="B6" s="18">
        <v>289191000</v>
      </c>
      <c r="C6" s="18">
        <v>536742000</v>
      </c>
      <c r="D6" s="18">
        <v>386199000</v>
      </c>
      <c r="E6" s="18">
        <v>566330000</v>
      </c>
      <c r="F6" s="8" t="s">
        <v>85</v>
      </c>
    </row>
    <row r="7" spans="1:6" x14ac:dyDescent="0.25">
      <c r="A7" t="s">
        <v>86</v>
      </c>
      <c r="B7" s="18">
        <v>194835000</v>
      </c>
      <c r="C7" s="18">
        <v>171768000</v>
      </c>
      <c r="D7" s="18">
        <v>166602000</v>
      </c>
      <c r="E7" s="18">
        <v>156141000</v>
      </c>
      <c r="F7" s="8" t="s">
        <v>87</v>
      </c>
    </row>
    <row r="8" spans="1:6" x14ac:dyDescent="0.25">
      <c r="A8" t="s">
        <v>88</v>
      </c>
      <c r="B8" s="18">
        <v>169850000</v>
      </c>
      <c r="C8" s="18">
        <v>136733000</v>
      </c>
      <c r="D8" s="18">
        <v>129060000</v>
      </c>
      <c r="E8" s="18">
        <v>86188000</v>
      </c>
      <c r="F8" s="8" t="s">
        <v>89</v>
      </c>
    </row>
    <row r="9" spans="1:6" x14ac:dyDescent="0.25">
      <c r="A9" t="s">
        <v>90</v>
      </c>
      <c r="B9" s="18">
        <v>13123000</v>
      </c>
      <c r="C9" s="18">
        <v>-216964000</v>
      </c>
      <c r="D9" s="18">
        <v>-128389000</v>
      </c>
      <c r="E9" s="18">
        <v>448325000</v>
      </c>
      <c r="F9" s="8" t="s">
        <v>91</v>
      </c>
    </row>
    <row r="10" spans="1:6" x14ac:dyDescent="0.25">
      <c r="A10" t="s">
        <v>92</v>
      </c>
      <c r="B10" s="18">
        <v>1498263000</v>
      </c>
      <c r="C10" s="18">
        <v>1475737000</v>
      </c>
      <c r="D10" s="18">
        <v>1733566000</v>
      </c>
      <c r="E10" s="18">
        <v>1599998000</v>
      </c>
      <c r="F10" s="8" t="s">
        <v>93</v>
      </c>
    </row>
    <row r="11" spans="1:6" x14ac:dyDescent="0.25">
      <c r="A11" t="s">
        <v>94</v>
      </c>
      <c r="B11" s="18">
        <v>341413000</v>
      </c>
      <c r="C11" s="18">
        <v>281277000</v>
      </c>
      <c r="D11" s="18">
        <v>200994000</v>
      </c>
      <c r="E11" s="18">
        <v>132723000</v>
      </c>
      <c r="F11" s="8" t="s">
        <v>95</v>
      </c>
    </row>
    <row r="12" spans="1:6" x14ac:dyDescent="0.25">
      <c r="A12" t="s">
        <v>32</v>
      </c>
      <c r="B12" s="34">
        <v>59275781</v>
      </c>
      <c r="C12" s="34">
        <v>60350412</v>
      </c>
      <c r="D12" s="34">
        <v>62058387</v>
      </c>
      <c r="E12" s="34">
        <v>64681357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