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<sst xmlns="http://schemas.openxmlformats.org/spreadsheetml/2006/main" count="113" uniqueCount="101">
  <si>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Alphabet Inc. (GOOG)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</si>
  <si>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</si>
  <si>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</si>
  <si>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</si>
  <si>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</si>
  <si>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</si>
  <si>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</si>
  <si>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</si>
  <si>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</si>
  <si>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</si>
  <si>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</si>
  <si>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</si>
  <si>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</si>
  <si>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</si>
  <si>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</si>
  <si>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</si>
  <si>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</si>
  <si>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</si>
  <si>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</si>
  <si>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</si>
  <si>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</si>
  <si>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</si>
  <si>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</si>
  <si>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</si>
  <si>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</si>
  <si>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</si>
  <si>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</si>
  <si>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</si>
  <si>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</si>
  <si>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</si>
  <si>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</si>
  <si>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</si>
  <si>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</si>
  <si>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</si>
  <si>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</si>
  <si>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</si>
  <si>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</si>
  <si>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</si>
  <si>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</si>
  <si>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</si>
  <si>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</si>
  <si>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</si>
  <si>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</si>
  <si>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</si>
  <si>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</si>
  <si>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</si>
  <si>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</si>
  <si>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</si>
  <si>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</si>
  <si>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</si>
  <si>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</si>
  <si>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</si>
  <si>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</si>
  <si>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</si>
  <si>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</si>
  <si>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</si>
  <si>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</si>
  <si>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</si>
  <si>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</si>
  <si>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</si>
  <si>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</si>
  <si>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</si>
  <si>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</si>
  <si>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</si>
  <si>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</si>
  <si>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</si>
  <si>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</si>
  <si>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</si>
  <si>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</si>
  <si>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</si>
  <si>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</si>
  <si>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</si>
  <si>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</si>
  <si>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</si>
  <si>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</si>
  <si>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</si>
  <si>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</si>
  <si>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</si>
  <si>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</si>
  <si>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</si>
  <si>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</si>
  <si>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</si>
  <si>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</si>
  <si>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</si>
  <si>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</si>
  <si>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</si>
  <si>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</si>
  <si>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</si>
  <si>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</si>
  <si>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</si>
  <si>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</si>
  <si>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</si>
  <si>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</si>
  <si>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</si>
  <si>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</si>
  <si>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</si>
  <si>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</si>
  <si>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</si>
  <si>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14.8% of revenue against depreciation of 4.6%. A perpetuity has to be a steady state, so the terminal year uses maintenance capex at depreciation and then charges the reinvestment terminal growth requires (g/ROIC of NOPAT). The bridge is shown under Terminal Value.</t>
  </si>
  <si>
    <t>Current EV/EBITDA of 27.6x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</si>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</sst>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0.12511745609215974</v>
      </c>
    </row>
    <row r="7" spans="1:2" x14ac:dyDescent="0.25">
      <c r="A7" t="s">
        <v>5</v>
      </c>
      <c r="B7" s="6">
        <v>0.29506374272882846</v>
      </c>
    </row>
    <row r="8" spans="1:2" x14ac:dyDescent="0.25">
      <c r="A8" t="s">
        <v>6</v>
      </c>
      <c r="B8" s="6">
        <v>0.16180163711151296</v>
      </c>
    </row>
    <row r="9" spans="1:2" x14ac:dyDescent="0.25">
      <c r="A9" t="s">
        <v>7</v>
      </c>
      <c r="B9" s="6">
        <v>0.0456790233526975</v>
      </c>
    </row>
    <row r="10" spans="1:2" x14ac:dyDescent="0.25">
      <c r="A10" t="s">
        <v>8</v>
      </c>
      <c r="B10" s="6">
        <v>0.14833417212723063</v>
      </c>
    </row>
    <row r="11" spans="1:2" x14ac:dyDescent="0.25">
      <c r="A11" t="s">
        <v>9</v>
      </c>
      <c r="B11" s="6">
        <v>0.156568124440101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0.23675621084067583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1.15075</v>
      </c>
      <c r="C19" s="8" t="s">
        <v>19</v>
      </c>
    </row>
    <row r="20" spans="1:2" x14ac:dyDescent="0.25">
      <c r="A20" t="s">
        <v>20</v>
      </c>
      <c r="B20" s="10">
        <f>B17+B19*B18</f>
        <v>0.11327124999999999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4212111966208</v>
      </c>
    </row>
    <row r="23" spans="1:2" x14ac:dyDescent="0.25">
      <c r="A23" t="s">
        <v>24</v>
      </c>
      <c r="B23" s="11">
        <v>59291000000</v>
      </c>
    </row>
    <row r="24" spans="1:2" x14ac:dyDescent="0.25">
      <c r="A24" t="s">
        <v>25</v>
      </c>
      <c r="B24" s="10">
        <f>B22/(B22+B23)</f>
        <v>0.9861190806699662</v>
      </c>
    </row>
    <row r="25" spans="1:2" x14ac:dyDescent="0.25">
      <c r="A25" t="s">
        <v>26</v>
      </c>
      <c r="B25" s="10">
        <f>1-B24</f>
        <v>0.01388091933003377</v>
      </c>
    </row>
    <row r="26" spans="1:2" x14ac:dyDescent="0.25">
      <c r="A26" t="s">
        <v>27</v>
      </c>
      <c r="B26" s="12">
        <f>B24*B20+B25*B21*(1-B8)</f>
        <v>0.11228045640995182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402836000000</v>
      </c>
      <c r="C29" s="8" t="s">
        <v>30</v>
      </c>
    </row>
    <row r="30" spans="1:2" x14ac:dyDescent="0.25">
      <c r="A30" t="s">
        <v>31</v>
      </c>
      <c r="B30" s="11">
        <v>-67552000000</v>
      </c>
    </row>
    <row r="31" spans="1:2" x14ac:dyDescent="0.25">
      <c r="A31" t="s">
        <v>32</v>
      </c>
      <c r="B31" s="13">
        <v>12230000000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0.12511745609215974</v>
      </c>
      <c r="C5" s="10">
        <f>Assumptions!B6</f>
        <v>0.12511745609215974</v>
      </c>
      <c r="D5" s="10">
        <f>Assumptions!B6</f>
        <v>0.12511745609215974</v>
      </c>
      <c r="E5" s="10">
        <f>Assumptions!B6</f>
        <v>0.12511745609215974</v>
      </c>
      <c r="F5" s="10">
        <f>Assumptions!B6</f>
        <v>0.12511745609215974</v>
      </c>
    </row>
    <row r="6" spans="1:6" x14ac:dyDescent="0.25">
      <c r="A6" t="s">
        <v>43</v>
      </c>
      <c r="B6" s="18">
        <f>Assumptions!B29*(1+B5)</f>
        <v>453237815542.34125</v>
      </c>
      <c r="C6" s="18">
        <f>B6*(1+C5)</f>
        <v>509945778027.76654</v>
      </c>
      <c r="D6" s="18">
        <f>C6*(1+D5)</f>
        <v>573748896519.5378</v>
      </c>
      <c r="E6" s="18">
        <f>D6*(1+E5)</f>
        <v>645534898887.7462</v>
      </c>
      <c r="F6" s="18">
        <f>E6*(1+F5)</f>
        <v>726302583255.2905</v>
      </c>
    </row>
    <row r="7" spans="1:6" x14ac:dyDescent="0.25">
      <c r="A7" t="s">
        <v>5</v>
      </c>
      <c r="B7" s="10">
        <f>Assumptions!B7</f>
        <v>0.29506374272882846</v>
      </c>
      <c r="C7" s="10">
        <f>Assumptions!B7</f>
        <v>0.29506374272882846</v>
      </c>
      <c r="D7" s="10">
        <f>Assumptions!B7</f>
        <v>0.29506374272882846</v>
      </c>
      <c r="E7" s="10">
        <f>Assumptions!B7</f>
        <v>0.29506374272882846</v>
      </c>
      <c r="F7" s="10">
        <f>Assumptions!B7</f>
        <v>0.29506374272882846</v>
      </c>
    </row>
    <row r="8" spans="1:6" x14ac:dyDescent="0.25">
      <c r="A8" t="s">
        <v>44</v>
      </c>
      <c r="B8" s="18">
        <f>B6*B7</f>
        <v>133734046200.16159</v>
      </c>
      <c r="C8" s="18">
        <f>C6*C7</f>
        <v>150466509853.63718</v>
      </c>
      <c r="D8" s="18">
        <f>D6*D7</f>
        <v>169292496793.59015</v>
      </c>
      <c r="E8" s="18">
        <f>E6*E7</f>
        <v>190473943327.89426</v>
      </c>
      <c r="F8" s="18">
        <f>F6*F7</f>
        <v>214305558568.92255</v>
      </c>
    </row>
    <row r="9" spans="1:6" x14ac:dyDescent="0.25">
      <c r="A9" t="s">
        <v>45</v>
      </c>
      <c r="B9" s="18">
        <f>B8*(1-Assumptions!B8)</f>
        <v>112095658587.42874</v>
      </c>
      <c r="C9" s="18">
        <f>C8*(1-Assumptions!B8)</f>
        <v>126120782228.86308</v>
      </c>
      <c r="D9" s="18">
        <f>D8*(1-Assumptions!B8)</f>
        <v>141900693661.6917</v>
      </c>
      <c r="E9" s="18">
        <f>E8*(1-Assumptions!B8)</f>
        <v>159654947470.35544</v>
      </c>
      <c r="F9" s="18">
        <f>F8*(1-Assumptions!B8)</f>
        <v>179630568350.37366</v>
      </c>
    </row>
    <row r="10" spans="1:6" x14ac:dyDescent="0.25">
      <c r="A10" t="s">
        <v>46</v>
      </c>
      <c r="B10" s="18">
        <f>B6*Assumptions!B9</f>
        <v>20703460760.484207</v>
      </c>
      <c r="C10" s="18">
        <f>C6*Assumptions!B9</f>
        <v>23293825103.139843</v>
      </c>
      <c r="D10" s="18">
        <f>D6*Assumptions!B9</f>
        <v>26208289242.700394</v>
      </c>
      <c r="E10" s="18">
        <f>E6*Assumptions!B9</f>
        <v>29487403721.274582</v>
      </c>
      <c r="F10" s="18">
        <f>F6*Assumptions!B9</f>
        <v>33176792661.642937</v>
      </c>
    </row>
    <row r="11" spans="1:6" x14ac:dyDescent="0.25">
      <c r="A11" t="s">
        <v>47</v>
      </c>
      <c r="B11" s="18">
        <f>-B6*Assumptions!B10</f>
        <v>-67230656145.22765</v>
      </c>
      <c r="C11" s="18">
        <f>-C6*Assumptions!B10</f>
        <v>-75642384813.52527</v>
      </c>
      <c r="D11" s="18">
        <f>-D6*Assumptions!B10</f>
        <v>-85106567574.13776</v>
      </c>
      <c r="E11" s="18">
        <f>-E6*Assumptions!B10</f>
        <v>-95754884805.74937</v>
      </c>
      <c r="F11" s="18">
        <f>-F6*Assumptions!B10</f>
        <v>-107735492401.04253</v>
      </c>
    </row>
    <row r="12" spans="1:6" x14ac:dyDescent="0.25">
      <c r="A12" t="s">
        <v>48</v>
      </c>
      <c r="B12" s="18">
        <f>-(B6-Assumptions!B29)*Assumptions!B11</f>
        <v>-7891317727.840301</v>
      </c>
      <c r="C12" s="18">
        <f>-(C6-B6)*Assumptions!B11</f>
        <v>-8878659327.162645</v>
      </c>
      <c r="D12" s="18">
        <f>-(D6-C6)*Assumptions!B11</f>
        <v>-9989534595.686157</v>
      </c>
      <c r="E12" s="18">
        <f>-(E6-D6)*Assumptions!B11</f>
        <v>-11239399751.843033</v>
      </c>
      <c r="F12" s="18">
        <f>-(F6-E6)*Assumptions!B11</f>
        <v>-12645644856.796476</v>
      </c>
    </row>
    <row r="13" spans="1:6" x14ac:dyDescent="0.25">
      <c r="A13" s="19" t="s">
        <v>49</v>
      </c>
      <c r="B13" s="20">
        <f>B9+B10+B11+B12</f>
        <v>57677145474.84499</v>
      </c>
      <c r="C13" s="20">
        <f>C9+C10+C11+C12</f>
        <v>64893563191.31502</v>
      </c>
      <c r="D13" s="20">
        <f>D9+D10+D11+D12</f>
        <v>73012880734.56818</v>
      </c>
      <c r="E13" s="20">
        <f>E9+E10+E11+E12</f>
        <v>82148066634.0376</v>
      </c>
      <c r="F13" s="20">
        <f>F9+F10+F11+F12</f>
        <v>92426223754.1776</v>
      </c>
    </row>
    <row r="14" spans="1:6" x14ac:dyDescent="0.25">
      <c r="A14" t="s">
        <v>50</v>
      </c>
      <c r="B14" s="21">
        <f>1/(1+Assumptions!$B$26)^(1-0.5*Assumptions!$B$32)</f>
        <v>0.9481844894700454</v>
      </c>
      <c r="C14" s="21">
        <f>1/(1+Assumptions!$B$26)^(2-0.5*Assumptions!$B$32)</f>
        <v>0.8524688930797633</v>
      </c>
      <c r="D14" s="21">
        <f>1/(1+Assumptions!$B$26)^(3-0.5*Assumptions!$B$32)</f>
        <v>0.7664154199303578</v>
      </c>
      <c r="E14" s="21">
        <f>1/(1+Assumptions!$B$26)^(4-0.5*Assumptions!$B$32)</f>
        <v>0.6890487156486377</v>
      </c>
      <c r="F14" s="21">
        <f>1/(1+Assumptions!$B$26)^(5-0.5*Assumptions!$B$32)</f>
        <v>0.6194918841536095</v>
      </c>
    </row>
    <row r="15" spans="1:6" x14ac:dyDescent="0.25">
      <c r="A15" s="19" t="s">
        <v>51</v>
      </c>
      <c r="B15" s="20">
        <f>B13*B14</f>
        <v>54688574736.15544</v>
      </c>
      <c r="C15" s="20">
        <f>C13*C14</f>
        <v>55319743981.70198</v>
      </c>
      <c r="D15" s="20">
        <f>D13*D14</f>
        <v>55958197648.5092</v>
      </c>
      <c r="E15" s="20">
        <f>E13*E14</f>
        <v>56604019807.20232</v>
      </c>
      <c r="F15" s="20">
        <f>F13*F14</f>
        <v>57257295498.67857</v>
      </c>
    </row>
    <row r="17" spans="1:2" x14ac:dyDescent="0.25">
      <c r="A17" s="22" t="s">
        <v>52</v>
      </c>
      <c r="B17" s="23">
        <f>SUM(B15:F15)</f>
        <v>279827831672.24756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92426223754.1776</v>
      </c>
    </row>
    <row r="5" spans="1:2" x14ac:dyDescent="0.25">
      <c r="A5" t="s">
        <v>56</v>
      </c>
      <c r="B5" s="18">
        <f>IF(Assumptions!$B$33=0,B4,B4-Forecast!F11-Forecast!F10-Forecast!F12)</f>
        <v>179630568350.37366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0.10559385078528585</v>
      </c>
    </row>
    <row r="7" spans="1:2" x14ac:dyDescent="0.25">
      <c r="A7" t="s">
        <v>58</v>
      </c>
      <c r="B7" s="18">
        <f>-MAX(Forecast!F9,0)*B6</f>
        <v>-18967883430.865448</v>
      </c>
    </row>
    <row r="8" spans="1:2" x14ac:dyDescent="0.25">
      <c r="A8" t="s">
        <v>59</v>
      </c>
      <c r="B8" s="18">
        <f>IF(OR(Assumptions!$B$33=0,Assumptions!B12&lt;=0),B5,MAX(B5+B7,0))</f>
        <v>160662684919.5082</v>
      </c>
    </row>
    <row r="9" spans="1:2" x14ac:dyDescent="0.25">
      <c r="A9" t="s">
        <v>60</v>
      </c>
      <c r="B9" s="18">
        <f>B8*(1+Assumptions!B12)/(Assumptions!B26-Assumptions!B12)</f>
        <v>1886782663795.958</v>
      </c>
    </row>
    <row r="10" spans="1:2" x14ac:dyDescent="0.25">
      <c r="A10" t="s">
        <v>61</v>
      </c>
      <c r="B10" s="18">
        <f>B9/(1+Assumptions!B26)^(5-0.5*Assumptions!B32)</f>
        <v>1168846547383.3242</v>
      </c>
    </row>
    <row r="11" spans="1:2" x14ac:dyDescent="0.25">
      <c r="A11" t="s">
        <v>62</v>
      </c>
      <c r="B11" s="18">
        <f>Forecast!B17+B10</f>
        <v>1448674379055.5718</v>
      </c>
    </row>
    <row r="12" spans="1:2" x14ac:dyDescent="0.25">
      <c r="A12" t="s">
        <v>63</v>
      </c>
      <c r="B12" s="18">
        <f>-Assumptions!B30</f>
        <v>67552000000</v>
      </c>
    </row>
    <row r="13" spans="1:2" x14ac:dyDescent="0.25">
      <c r="A13" t="s">
        <v>64</v>
      </c>
      <c r="B13" s="18">
        <f>B11+B12</f>
        <v>1516226379055.5718</v>
      </c>
    </row>
    <row r="14" spans="1:2" x14ac:dyDescent="0.25">
      <c r="A14" s="19" t="s">
        <v>65</v>
      </c>
      <c r="B14" s="24">
        <f>B13/Assumptions!B31</f>
        <v>123.97599174616286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247482351230.5655</v>
      </c>
    </row>
    <row r="18" spans="1:2" x14ac:dyDescent="0.25">
      <c r="A18" t="s">
        <v>60</v>
      </c>
      <c r="B18" s="18">
        <f>B17*Assumptions!B13</f>
        <v>4949647024611.31</v>
      </c>
    </row>
    <row r="19" spans="1:2" x14ac:dyDescent="0.25">
      <c r="A19" t="s">
        <v>61</v>
      </c>
      <c r="B19" s="18">
        <f>B18/(1+Assumptions!B26)^(5-0.5*Assumptions!B32)</f>
        <v>3066266161171.767</v>
      </c>
    </row>
    <row r="20" spans="1:2" x14ac:dyDescent="0.25">
      <c r="A20" t="s">
        <v>62</v>
      </c>
      <c r="B20" s="18">
        <f>Forecast!B17+B19</f>
        <v>3346093992844.0146</v>
      </c>
    </row>
    <row r="21" spans="1:2" x14ac:dyDescent="0.25">
      <c r="A21" t="s">
        <v>63</v>
      </c>
      <c r="B21" s="18">
        <f>-Assumptions!B30</f>
        <v>67552000000</v>
      </c>
    </row>
    <row r="22" spans="1:2" x14ac:dyDescent="0.25">
      <c r="A22" t="s">
        <v>64</v>
      </c>
      <c r="B22" s="18">
        <f>B20+B21</f>
        <v>3413645992844.0146</v>
      </c>
    </row>
    <row r="23" spans="1:2" x14ac:dyDescent="0.25">
      <c r="A23" s="19" t="s">
        <v>65</v>
      </c>
      <c r="B23" s="25">
        <f>B22/Assumptions!B31</f>
        <v>279.1206862505327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344.41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123.97599174616286</v>
      </c>
    </row>
    <row r="29" spans="1:2" x14ac:dyDescent="0.25">
      <c r="A29" s="19" t="s">
        <v>73</v>
      </c>
      <c r="B29" s="12">
        <f>B28/B26-1</f>
        <v>-0.640033704752583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0.09228</v>
      </c>
      <c r="B5" s="31">
        <v>150.94105370127397</v>
      </c>
      <c r="C5" s="31">
        <v>157.04022834078359</v>
      </c>
      <c r="D5" s="31">
        <v>164.01494819283278</v>
      </c>
      <c r="E5" s="31">
        <v>172.07608638182893</v>
      </c>
      <c r="F5" s="31">
        <v>181.50814491639986</v>
      </c>
    </row>
    <row r="6" spans="1:6" x14ac:dyDescent="0.25">
      <c r="A6" s="30">
        <v>0.10228</v>
      </c>
      <c r="B6" s="31">
        <v>132.15363499412987</v>
      </c>
      <c r="C6" s="31">
        <v>136.4845913511456</v>
      </c>
      <c r="D6" s="31">
        <v>141.35007513451546</v>
      </c>
      <c r="E6" s="31">
        <v>146.86101483615033</v>
      </c>
      <c r="F6" s="31">
        <v>153.1613141239154</v>
      </c>
    </row>
    <row r="7" spans="1:6" x14ac:dyDescent="0.25">
      <c r="A7" s="30">
        <v>0.11228</v>
      </c>
      <c r="B7" s="31">
        <v>117.3255005714168</v>
      </c>
      <c r="C7" s="31">
        <v>120.48131733392121</v>
      </c>
      <c r="D7" s="32">
        <v>123.97669168138768</v>
      </c>
      <c r="E7" s="31">
        <v>127.87352643071503</v>
      </c>
      <c r="F7" s="31">
        <v>132.24974479655012</v>
      </c>
    </row>
    <row r="8" spans="1:6" x14ac:dyDescent="0.25">
      <c r="A8" s="30">
        <v>0.12228</v>
      </c>
      <c r="B8" s="31">
        <v>105.34458625038697</v>
      </c>
      <c r="C8" s="31">
        <v>107.69025386912195</v>
      </c>
      <c r="D8" s="31">
        <v>110.25807353934604</v>
      </c>
      <c r="E8" s="31">
        <v>113.08415580258877</v>
      </c>
      <c r="F8" s="31">
        <v>116.21288584325983</v>
      </c>
    </row>
    <row r="9" spans="1:6" x14ac:dyDescent="0.25">
      <c r="A9" s="30">
        <v>0.13228</v>
      </c>
      <c r="B9" s="31">
        <v>95.47839899742934</v>
      </c>
      <c r="C9" s="31">
        <v>97.24896595175387</v>
      </c>
      <c r="D9" s="31">
        <v>99.16804310193656</v>
      </c>
      <c r="E9" s="31">
        <v>101.2574103945737</v>
      </c>
      <c r="F9" s="31">
        <v>103.54332556133481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402836000000</v>
      </c>
      <c r="C5" s="18">
        <v>350018000000</v>
      </c>
      <c r="D5" s="18">
        <v>307394000000</v>
      </c>
      <c r="E5" s="18">
        <v>282836000000</v>
      </c>
      <c r="F5" s="8" t="s">
        <v>84</v>
      </c>
    </row>
    <row r="6" spans="1:6" x14ac:dyDescent="0.25">
      <c r="A6" t="s">
        <v>44</v>
      </c>
      <c r="B6" s="18">
        <v>129039000000</v>
      </c>
      <c r="C6" s="18">
        <v>112390000000</v>
      </c>
      <c r="D6" s="18">
        <v>84293000000</v>
      </c>
      <c r="E6" s="18">
        <v>74842000000</v>
      </c>
      <c r="F6" s="8" t="s">
        <v>85</v>
      </c>
    </row>
    <row r="7" spans="1:6" x14ac:dyDescent="0.25">
      <c r="A7" t="s">
        <v>86</v>
      </c>
      <c r="B7" s="18">
        <v>21136000000</v>
      </c>
      <c r="C7" s="18">
        <v>15311000000</v>
      </c>
      <c r="D7" s="18">
        <v>11946000000</v>
      </c>
      <c r="E7" s="18">
        <v>13475000000</v>
      </c>
      <c r="F7" s="8" t="s">
        <v>87</v>
      </c>
    </row>
    <row r="8" spans="1:6" x14ac:dyDescent="0.25">
      <c r="A8" t="s">
        <v>88</v>
      </c>
      <c r="B8" s="18">
        <v>91447000000</v>
      </c>
      <c r="C8" s="18">
        <v>52535000000</v>
      </c>
      <c r="D8" s="18">
        <v>32251000000</v>
      </c>
      <c r="E8" s="18">
        <v>31485000000</v>
      </c>
      <c r="F8" s="8" t="s">
        <v>89</v>
      </c>
    </row>
    <row r="9" spans="1:6" x14ac:dyDescent="0.25">
      <c r="A9" t="s">
        <v>90</v>
      </c>
      <c r="B9" s="18">
        <v>-618000000</v>
      </c>
      <c r="C9" s="18">
        <v>8406000000</v>
      </c>
      <c r="D9" s="18">
        <v>3845000000</v>
      </c>
      <c r="E9" s="18">
        <v>2235000000</v>
      </c>
      <c r="F9" s="8" t="s">
        <v>91</v>
      </c>
    </row>
    <row r="10" spans="1:6" x14ac:dyDescent="0.25">
      <c r="A10" t="s">
        <v>92</v>
      </c>
      <c r="B10" s="18">
        <v>59291000000</v>
      </c>
      <c r="C10" s="18">
        <v>22574000000</v>
      </c>
      <c r="D10" s="18">
        <v>27121000000</v>
      </c>
      <c r="E10" s="18">
        <v>29679000000</v>
      </c>
      <c r="F10" s="8" t="s">
        <v>93</v>
      </c>
    </row>
    <row r="11" spans="1:6" x14ac:dyDescent="0.25">
      <c r="A11" t="s">
        <v>94</v>
      </c>
      <c r="B11" s="18">
        <v>126843000000</v>
      </c>
      <c r="C11" s="18">
        <v>95657000000</v>
      </c>
      <c r="D11" s="18">
        <v>110916000000</v>
      </c>
      <c r="E11" s="18">
        <v>113762000000</v>
      </c>
      <c r="F11" s="8" t="s">
        <v>95</v>
      </c>
    </row>
    <row r="12" spans="1:6" x14ac:dyDescent="0.25">
      <c r="A12" t="s">
        <v>32</v>
      </c>
      <c r="B12" s="34">
        <v>12230000000</v>
      </c>
      <c r="C12" s="34">
        <v>12447000000</v>
      </c>
      <c r="D12" s="34">
        <v>12722000000</v>
      </c>
      <c r="E12" s="34">
        <v>13159000000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2026-09-19T00:07:10Z</dcterms:modified>
</cp:coreProperties>
</file>