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<sst xmlns="http://schemas.openxmlformats.org/spreadsheetml/2006/main" count="121" uniqueCount="108">
  <si>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Alphabet Inc. (GOOG)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</si>
  <si>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</si>
  <si>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</si>
  <si>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</si>
  <si>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</si>
  <si>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</si>
  <si>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</si>
  <si>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</si>
  <si>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</si>
  <si>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</si>
  <si>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</si>
  <si>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</si>
  <si>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</si>
  <si>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</si>
  <si>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</si>
  <si>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</si>
  <si>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</si>
  <si>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</si>
  <si>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</si>
  <si>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</si>
  <si>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</si>
  <si>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</si>
  <si>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</si>
  <si>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</si>
  <si>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175.3x interest cover. Book interest / average debt was lower, at 1.8%.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</si>
  <si>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</si>
  <si>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</si>
  <si>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</si>
  <si>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</si>
  <si>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</si>
  <si>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</si>
  <si>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</si>
  <si>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</si>
  <si>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</si>
  <si>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</si>
  <si>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</si>
  <si>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</si>
  <si>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</si>
  <si>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</si>
  <si>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</si>
  <si>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</si>
  <si>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</si>
  <si>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</si>
  <si>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</si>
  <si>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</si>
  <si>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</si>
  <si>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</si>
  <si>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</si>
  <si>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</si>
  <si>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</si>
  <si>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</si>
  <si>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</si>
  <si>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</si>
  <si>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</si>
  <si>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</si>
  <si>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</si>
  <si>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</si>
  <si>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</si>
  <si>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</si>
  <si>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</si>
  <si>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</si>
  <si>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</si>
  <si>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</si>
  <si>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</si>
  <si>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</si>
  <si>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</si>
  <si>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</si>
  <si>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</si>
  <si>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</si>
  <si>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</si>
  <si>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</si>
  <si>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</si>
  <si>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</si>
  <si>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</si>
  <si>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</si>
  <si>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</si>
  <si>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</si>
  <si>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</si>
  <si>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</si>
  <si>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</si>
  <si>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</si>
  <si>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</si>
  <si>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</si>
  <si>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</si>
  <si>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</si>
  <si>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</si>
  <si>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</si>
  <si>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</si>
  <si>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</si>
  <si>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</si>
  <si>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</si>
  <si>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</si>
  <si>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</si>
  <si>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</si>
  <si>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</si>
  <si>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</si>
  <si>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</si>
  <si>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</si>
  <si>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</si>
  <si>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</si>
  <si>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</si>
  <si>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</si>
  <si>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</si>
  <si>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</si>
  <si>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</si>
  <si>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14.8% of revenue against depreciation of 4.6%.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</si>
  <si>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22.3x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</si>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</sst>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0.24013408342352727</v>
      </c>
    </row>
    <row r="7" spans="1:2" x14ac:dyDescent="0.25">
      <c r="A7" t="s">
        <v>4</v>
      </c>
      <c r="B7" s="5">
        <v>0.29506374272882846</v>
      </c>
    </row>
    <row r="8" spans="1:2" x14ac:dyDescent="0.25">
      <c r="A8" t="s">
        <v>5</v>
      </c>
      <c r="B8" s="5">
        <v>0.16180163711151296</v>
      </c>
    </row>
    <row r="9" spans="1:2" x14ac:dyDescent="0.25">
      <c r="A9" t="s">
        <v>6</v>
      </c>
      <c r="B9" s="5">
        <v>0.0456790233526975</v>
      </c>
    </row>
    <row r="10" spans="1:3" x14ac:dyDescent="0.25">
      <c r="A10" t="s">
        <v>7</v>
      </c>
      <c r="B10" s="5">
        <v>0.14833417212723063</v>
      </c>
      <c r="C10" s="6" t="s">
        <v>8</v>
      </c>
    </row>
    <row r="11" spans="1:2" x14ac:dyDescent="0.25">
      <c r="A11" t="s">
        <v>9</v>
      </c>
      <c r="B11" s="5">
        <v>0.1291873665571649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0.23675621084067583</v>
      </c>
      <c r="C14" s="6" t="s">
        <v>13</v>
      </c>
    </row>
    <row r="15" spans="1:3" x14ac:dyDescent="0.25">
      <c r="A15" t="s">
        <v>14</v>
      </c>
      <c r="B15" s="5">
        <v>0.0456790233526975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1.1413700000000002</v>
      </c>
      <c r="C19" s="6" t="s">
        <v>21</v>
      </c>
    </row>
    <row r="20" spans="1:2" x14ac:dyDescent="0.25">
      <c r="A20" t="s">
        <v>22</v>
      </c>
      <c r="B20" s="9">
        <f>B17+B19*B18</f>
        <v>0.09721995100000001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3420436561920</v>
      </c>
    </row>
    <row r="23" spans="1:2" x14ac:dyDescent="0.25">
      <c r="A23" t="s">
        <v>26</v>
      </c>
      <c r="B23" s="10">
        <v>59291000000</v>
      </c>
    </row>
    <row r="24" spans="1:2" x14ac:dyDescent="0.25">
      <c r="A24" t="s">
        <v>27</v>
      </c>
      <c r="B24" s="9">
        <f>B22/(B22+B23)</f>
        <v>0.9829610223947287</v>
      </c>
    </row>
    <row r="25" spans="1:2" x14ac:dyDescent="0.25">
      <c r="A25" t="s">
        <v>28</v>
      </c>
      <c r="B25" s="9">
        <f>1-B24</f>
        <v>0.017038977605271288</v>
      </c>
    </row>
    <row r="26" spans="1:2" x14ac:dyDescent="0.25">
      <c r="A26" t="s">
        <v>29</v>
      </c>
      <c r="B26" s="11">
        <f>B24*B20+B25*B21*(1-B8)</f>
        <v>0.09631951379564109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402836000000</v>
      </c>
      <c r="C29" s="6" t="s">
        <v>32</v>
      </c>
    </row>
    <row r="30" spans="1:2" x14ac:dyDescent="0.25">
      <c r="A30" t="s">
        <v>33</v>
      </c>
      <c r="B30" s="10">
        <v>-67552000000</v>
      </c>
    </row>
    <row r="31" spans="1:2" x14ac:dyDescent="0.25">
      <c r="A31" t="s">
        <v>34</v>
      </c>
      <c r="B31" s="12">
        <v>12230000000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0.24013408342352727</v>
      </c>
      <c r="C5" s="5">
        <v>0.27008788552646346</v>
      </c>
      <c r="D5" s="5">
        <v>0.2394518998356555</v>
      </c>
      <c r="E5" s="5">
        <v>0.2088159141448476</v>
      </c>
      <c r="F5" s="5">
        <v>0.17817992845403965</v>
      </c>
      <c r="G5" s="5">
        <v>0.14754394276323174</v>
      </c>
      <c r="H5" s="5">
        <v>0.1169079570724238</v>
      </c>
      <c r="I5" s="5">
        <v>0.08627197138161585</v>
      </c>
      <c r="J5" s="5">
        <v>0.05563598569080794</v>
      </c>
      <c r="K5" s="5">
        <v>0.024999999999999994</v>
      </c>
    </row>
    <row r="6" spans="1:11" x14ac:dyDescent="0.25">
      <c r="A6" t="s">
        <v>50</v>
      </c>
      <c r="B6" s="18">
        <f>Assumptions!B29*(1+B5)</f>
        <v>499570653630</v>
      </c>
      <c r="C6" s="18">
        <f>B6*(1+C5)</f>
        <v>634498635140</v>
      </c>
      <c r="D6" s="18">
        <f>C6*(1+D5)</f>
        <v>786430538767.4034</v>
      </c>
      <c r="E6" s="18">
        <f>D6*(1+E5)</f>
        <v>950649750631.5438</v>
      </c>
      <c r="F6" s="18">
        <f>E6*(1+F5)</f>
        <v>1120036455183.923</v>
      </c>
      <c r="G6" s="18">
        <f>F6*(1+G5)</f>
        <v>1285291049820.3127</v>
      </c>
      <c r="H6" s="18">
        <f>G6*(1+H5)</f>
        <v>1435551800698.2764</v>
      </c>
      <c r="I6" s="18">
        <f>H6*(1+I5)</f>
        <v>1559399684564.945</v>
      </c>
      <c r="J6" s="18">
        <f>I6*(1+J5)</f>
        <v>1646158423101.651</v>
      </c>
      <c r="K6" s="18">
        <f>J6*(1+K5)</f>
        <v>1687312383679.192</v>
      </c>
    </row>
    <row r="7" spans="1:11" x14ac:dyDescent="0.25">
      <c r="A7" t="s">
        <v>4</v>
      </c>
      <c r="B7" s="9">
        <f>Assumptions!B7</f>
        <v>0.29506374272882846</v>
      </c>
      <c r="C7" s="9">
        <f>Assumptions!B7</f>
        <v>0.29506374272882846</v>
      </c>
      <c r="D7" s="9">
        <f>Assumptions!B7</f>
        <v>0.29506374272882846</v>
      </c>
      <c r="E7" s="9">
        <f>Assumptions!B7</f>
        <v>0.29506374272882846</v>
      </c>
      <c r="F7" s="9">
        <f>Assumptions!B7</f>
        <v>0.29506374272882846</v>
      </c>
      <c r="G7" s="9">
        <f>Assumptions!B7</f>
        <v>0.29506374272882846</v>
      </c>
      <c r="H7" s="9">
        <f>Assumptions!B7</f>
        <v>0.29506374272882846</v>
      </c>
      <c r="I7" s="9">
        <f>Assumptions!B7</f>
        <v>0.29506374272882846</v>
      </c>
      <c r="J7" s="9">
        <f>Assumptions!B7</f>
        <v>0.29506374272882846</v>
      </c>
      <c r="K7" s="9">
        <f>Assumptions!B7</f>
        <v>0.29506374272882846</v>
      </c>
    </row>
    <row r="8" spans="1:11" x14ac:dyDescent="0.25">
      <c r="A8" t="s">
        <v>51</v>
      </c>
      <c r="B8" s="18">
        <f>B6*B7</f>
        <v>147405186817.555</v>
      </c>
      <c r="C8" s="18">
        <f>C6*C7</f>
        <v>187217542040.74176</v>
      </c>
      <c r="D8" s="18">
        <f>D6*D7</f>
        <v>232047138164.95908</v>
      </c>
      <c r="E8" s="18">
        <f>E6*E7</f>
        <v>280502273445.5708</v>
      </c>
      <c r="F8" s="18">
        <f>F6*F7</f>
        <v>330482148459.2981</v>
      </c>
      <c r="G8" s="18">
        <f>G6*G7</f>
        <v>379242787655.8466</v>
      </c>
      <c r="H8" s="18">
        <f>H6*H7</f>
        <v>423579287195.14264</v>
      </c>
      <c r="I8" s="18">
        <f>I6*I7</f>
        <v>460122307337.8872</v>
      </c>
      <c r="J8" s="18">
        <f>J6*J7</f>
        <v>485721665444.9595</v>
      </c>
      <c r="K8" s="18">
        <f>K6*K7</f>
        <v>497864707081.0834</v>
      </c>
    </row>
    <row r="9" spans="1:11" x14ac:dyDescent="0.25">
      <c r="A9" t="s">
        <v>52</v>
      </c>
      <c r="B9" s="18">
        <f>B8*(1-Assumptions!B8)</f>
        <v>123554786271.74619</v>
      </c>
      <c r="C9" s="18">
        <f>C8*(1-Assumptions!B8)</f>
        <v>156925437242.55624</v>
      </c>
      <c r="D9" s="18">
        <f>D8*(1-Assumptions!B8)</f>
        <v>194501531322.82727</v>
      </c>
      <c r="E9" s="18">
        <f>E8*(1-Assumptions!B8)</f>
        <v>235116546388.57617</v>
      </c>
      <c r="F9" s="18">
        <f>F8*(1-Assumptions!B8)</f>
        <v>277009595802.4536</v>
      </c>
      <c r="G9" s="18">
        <f>G8*(1-Assumptions!B8)</f>
        <v>317880683750.3967</v>
      </c>
      <c r="H9" s="18">
        <f>H8*(1-Assumptions!B8)</f>
        <v>355043465080.44086</v>
      </c>
      <c r="I9" s="18">
        <f>I8*(1-Assumptions!B8)</f>
        <v>385673764739.09033</v>
      </c>
      <c r="J9" s="18">
        <f>J8*(1-Assumptions!B8)</f>
        <v>407131104795.43445</v>
      </c>
      <c r="K9" s="18">
        <f>K8*(1-Assumptions!B8)</f>
        <v>417309382415.32025</v>
      </c>
    </row>
    <row r="10" spans="1:11" x14ac:dyDescent="0.25">
      <c r="A10" t="s">
        <v>53</v>
      </c>
      <c r="B10" s="18">
        <f>B6*Assumptions!B9</f>
        <v>22819899553.487125</v>
      </c>
      <c r="C10" s="18">
        <f>C6*Assumptions!B9</f>
        <v>28983277971.81475</v>
      </c>
      <c r="D10" s="18">
        <f>D6*Assumptions!B9</f>
        <v>35923378945.6307</v>
      </c>
      <c r="E10" s="18">
        <f>E6*Assumptions!B9</f>
        <v>43424752159.33435</v>
      </c>
      <c r="F10" s="18">
        <f>F6*Assumptions!B9</f>
        <v>51162171392.218956</v>
      </c>
      <c r="G10" s="18">
        <f>G6*Assumptions!B9</f>
        <v>58710839879.75516</v>
      </c>
      <c r="H10" s="18">
        <f>H6*Assumptions!B9</f>
        <v>65574604228.103516</v>
      </c>
      <c r="I10" s="18">
        <f>I6*Assumptions!B9</f>
        <v>71231854607.43124</v>
      </c>
      <c r="J10" s="18">
        <f>J6*Assumptions!B9</f>
        <v>75194909051.1</v>
      </c>
      <c r="K10" s="18">
        <f>K6*Assumptions!B9</f>
        <v>77074781777.37749</v>
      </c>
    </row>
    <row r="11" spans="1:11" x14ac:dyDescent="0.25">
      <c r="A11" t="s">
        <v>54</v>
      </c>
      <c r="B11" s="18">
        <f>-B6*B19</f>
        <v>-74103399325.26553</v>
      </c>
      <c r="C11" s="18">
        <f>-C6*C19</f>
        <v>-88721808583.4687</v>
      </c>
      <c r="D11" s="18">
        <f>-D6*D19</f>
        <v>-103278305507.63655</v>
      </c>
      <c r="E11" s="18">
        <f>-E6*E19</f>
        <v>-116759767053.87267</v>
      </c>
      <c r="F11" s="18">
        <f>-F6*F19</f>
        <v>-128038791881.11432</v>
      </c>
      <c r="G11" s="18">
        <f>-G6*G19</f>
        <v>-135999529122.95964</v>
      </c>
      <c r="H11" s="18">
        <f>-H6*H19</f>
        <v>-139690469902.17697</v>
      </c>
      <c r="I11" s="18">
        <f>-I6*I19</f>
        <v>-138480105606.9381</v>
      </c>
      <c r="J11" s="18">
        <f>-J6*J19</f>
        <v>-132185016480.9325</v>
      </c>
      <c r="K11" s="18">
        <f>-K6*K19</f>
        <v>-121140086435.44061</v>
      </c>
    </row>
    <row r="12" spans="1:11" x14ac:dyDescent="0.25">
      <c r="A12" t="s">
        <v>55</v>
      </c>
      <c r="B12" s="18">
        <f>-(B6-Assumptions!B29)*Assumptions!B11</f>
        <v>-12496895157.279192</v>
      </c>
      <c r="C12" s="18">
        <f>-(C6-B6)*Assumptions!B11</f>
        <v>-17430990606.150738</v>
      </c>
      <c r="D12" s="18">
        <f>-(D6-C6)*Assumptions!B11</f>
        <v>-19627682525.64122</v>
      </c>
      <c r="E12" s="18">
        <f>-(E6-D6)*Assumptions!B11</f>
        <v>-21215047518.821426</v>
      </c>
      <c r="F12" s="18">
        <f>-(F6-E6)*Assumptions!B11</f>
        <v>-21882622290.91841</v>
      </c>
      <c r="G12" s="18">
        <f>-(G6-F6)*Assumptions!B11</f>
        <v>-21348805892.546967</v>
      </c>
      <c r="H12" s="18">
        <f>-(H6-G6)*Assumptions!B11</f>
        <v>-19411790702.826324</v>
      </c>
      <c r="I12" s="18">
        <f>-(I6-H6)*Assumptions!B11</f>
        <v>-15999581970.412518</v>
      </c>
      <c r="J12" s="18">
        <f>-(J6-I6)*Assumptions!B11</f>
        <v>-11208132957.378641</v>
      </c>
      <c r="K12" s="18">
        <f>-(K6-J6)*Assumptions!B11</f>
        <v>-5316571790.4099045</v>
      </c>
    </row>
    <row r="13" spans="1:11" x14ac:dyDescent="0.25">
      <c r="A13" s="19" t="s">
        <v>56</v>
      </c>
      <c r="B13" s="20">
        <f>B9+B10+B11+B12</f>
        <v>59774391342.68858</v>
      </c>
      <c r="C13" s="20">
        <f>C9+C10+C11+C12</f>
        <v>79755916024.75156</v>
      </c>
      <c r="D13" s="20">
        <f>D9+D10+D11+D12</f>
        <v>107518922235.1802</v>
      </c>
      <c r="E13" s="20">
        <f>E9+E10+E11+E12</f>
        <v>140566483975.21643</v>
      </c>
      <c r="F13" s="20">
        <f>F9+F10+F11+F12</f>
        <v>178250353022.63983</v>
      </c>
      <c r="G13" s="20">
        <f>G9+G10+G11+G12</f>
        <v>219243188614.64523</v>
      </c>
      <c r="H13" s="20">
        <f>H9+H10+H11+H12</f>
        <v>261515808703.5411</v>
      </c>
      <c r="I13" s="20">
        <f>I9+I10+I11+I12</f>
        <v>302425931769.17096</v>
      </c>
      <c r="J13" s="20">
        <f>J9+J10+J11+J12</f>
        <v>338932864408.22327</v>
      </c>
      <c r="K13" s="20">
        <f>K9+K10+K11+K12</f>
        <v>367927505966.8472</v>
      </c>
    </row>
    <row r="14" spans="1:11" x14ac:dyDescent="0.25">
      <c r="A14" t="s">
        <v>57</v>
      </c>
      <c r="B14" s="21">
        <f>1/(1+Assumptions!$B$26)^(1-0.5*Assumptions!$B$32)</f>
        <v>0.9550616967963507</v>
      </c>
      <c r="C14" s="21">
        <f>1/(1+Assumptions!$B$26)^(2-0.5*Assumptions!$B$32)</f>
        <v>0.8711526929679174</v>
      </c>
      <c r="D14" s="21">
        <f>1/(1+Assumptions!$B$26)^(3-0.5*Assumptions!$B$32)</f>
        <v>0.7946156955209539</v>
      </c>
      <c r="E14" s="21">
        <f>1/(1+Assumptions!$B$26)^(4-0.5*Assumptions!$B$32)</f>
        <v>0.7248030209458388</v>
      </c>
      <c r="F14" s="21">
        <f>1/(1+Assumptions!$B$26)^(5-0.5*Assumptions!$B$32)</f>
        <v>0.6611238893636489</v>
      </c>
      <c r="G14" s="21">
        <f>1/(1+Assumptions!$B$26)^(6-0.5*Assumptions!$B$32)</f>
        <v>0.6030394251350389</v>
      </c>
      <c r="H14" s="21">
        <f>1/(1+Assumptions!$B$26)^(7-0.5*Assumptions!$B$32)</f>
        <v>0.5500580967014039</v>
      </c>
      <c r="I14" s="21">
        <f>1/(1+Assumptions!$B$26)^(8-0.5*Assumptions!$B$32)</f>
        <v>0.501731557068624</v>
      </c>
      <c r="J14" s="21">
        <f>1/(1+Assumptions!$B$26)^(9-0.5*Assumptions!$B$32)</f>
        <v>0.4576508497340758</v>
      </c>
      <c r="K14" s="21">
        <f>1/(1+Assumptions!$B$26)^(10-0.5*Assumptions!$B$32)</f>
        <v>0.4174429479501027</v>
      </c>
    </row>
    <row r="15" spans="1:11" x14ac:dyDescent="0.25">
      <c r="A15" s="19" t="s">
        <v>58</v>
      </c>
      <c r="B15" s="20">
        <f>B13*B14</f>
        <v>57088231620.717255</v>
      </c>
      <c r="C15" s="20">
        <f>C13*C14</f>
        <v>69479581025.0854</v>
      </c>
      <c r="D15" s="20">
        <f>D13*D14</f>
        <v>85436223173.57108</v>
      </c>
      <c r="E15" s="20">
        <f>E13*E14</f>
        <v>101883012228.97171</v>
      </c>
      <c r="F15" s="20">
        <f>F13*F14</f>
        <v>117845566670.77109</v>
      </c>
      <c r="G15" s="20">
        <f>G13*G14</f>
        <v>132212286426.94858</v>
      </c>
      <c r="H15" s="20">
        <f>H13*H14</f>
        <v>143848887992.79828</v>
      </c>
      <c r="I15" s="20">
        <f>I13*I14</f>
        <v>151736633644.4756</v>
      </c>
      <c r="J15" s="20">
        <f>J13*J14</f>
        <v>155112913399.2277</v>
      </c>
      <c r="K15" s="20">
        <f>K13*K14</f>
        <v>153588742722.7297</v>
      </c>
    </row>
    <row r="17" spans="1:2" x14ac:dyDescent="0.25">
      <c r="A17" s="22" t="s">
        <v>59</v>
      </c>
      <c r="B17" s="23">
        <f>SUM(B15:K15)</f>
        <v>1168232078905.2964</v>
      </c>
    </row>
    <row r="19" spans="1:11" x14ac:dyDescent="0.25">
      <c r="A19" t="s">
        <v>7</v>
      </c>
      <c r="B19" s="9">
        <f>Assumptions!$B$10+($B$20-Assumptions!$B$10)*0/9</f>
        <v>0.14833417212723063</v>
      </c>
      <c r="C19" s="9">
        <f>Assumptions!$B$10+($B$20-Assumptions!$B$10)*1/9</f>
        <v>0.13982978633814167</v>
      </c>
      <c r="D19" s="9">
        <f>Assumptions!$B$10+($B$20-Assumptions!$B$10)*2/9</f>
        <v>0.13132540054905267</v>
      </c>
      <c r="E19" s="9">
        <f>Assumptions!$B$10+($B$20-Assumptions!$B$10)*3/9</f>
        <v>0.12282101475996371</v>
      </c>
      <c r="F19" s="9">
        <f>Assumptions!$B$10+($B$20-Assumptions!$B$10)*4/9</f>
        <v>0.11431662897087475</v>
      </c>
      <c r="G19" s="9">
        <f>Assumptions!$B$10+($B$20-Assumptions!$B$10)*5/9</f>
        <v>0.10581224318178575</v>
      </c>
      <c r="H19" s="9">
        <f>Assumptions!$B$10+($B$20-Assumptions!$B$10)*6/9</f>
        <v>0.09730785739269679</v>
      </c>
      <c r="I19" s="9">
        <f>Assumptions!$B$10+($B$20-Assumptions!$B$10)*7/9</f>
        <v>0.08880347160360783</v>
      </c>
      <c r="J19" s="9">
        <f>Assumptions!$B$10+($B$20-Assumptions!$B$10)*8/9</f>
        <v>0.08029908581451885</v>
      </c>
      <c r="K19" s="9">
        <f>Assumptions!$B$10+($B$20-Assumptions!$B$10)*9/9</f>
        <v>0.07179470002542987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0.07179470002542987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367927505966.8472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417309382415.32025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0.10559385078528585</v>
      </c>
    </row>
    <row r="7" spans="1:2" x14ac:dyDescent="0.25">
      <c r="A7" t="s">
        <v>66</v>
      </c>
      <c r="B7" s="18">
        <f>-MAX(B5,0)*B6</f>
        <v>-44065304658.06312</v>
      </c>
    </row>
    <row r="8" spans="1:2" x14ac:dyDescent="0.25">
      <c r="A8" t="s">
        <v>67</v>
      </c>
      <c r="B8" s="18">
        <f>IF(OR(Assumptions!$B$33=0,Assumptions!B12&lt;=0),B5,MAX(B5+B7,0))</f>
        <v>373244077757.25714</v>
      </c>
    </row>
    <row r="9" spans="1:2" x14ac:dyDescent="0.25">
      <c r="A9" t="s">
        <v>68</v>
      </c>
      <c r="B9" s="18">
        <f>B8*(1+Assumptions!B12)/(Assumptions!B26-Assumptions!B12)</f>
        <v>5364242678342.135</v>
      </c>
    </row>
    <row r="10" spans="1:2" x14ac:dyDescent="0.25">
      <c r="A10" t="s">
        <v>69</v>
      </c>
      <c r="B10" s="18">
        <f>B9/(1+Assumptions!B26)^(10-0.5*Assumptions!B32)</f>
        <v>2239265277166.8955</v>
      </c>
    </row>
    <row r="11" spans="1:2" x14ac:dyDescent="0.25">
      <c r="A11" t="s">
        <v>70</v>
      </c>
      <c r="B11" s="18">
        <f>Forecast!B17+B10</f>
        <v>3407497356072.192</v>
      </c>
    </row>
    <row r="12" spans="1:2" x14ac:dyDescent="0.25">
      <c r="A12" t="s">
        <v>71</v>
      </c>
      <c r="B12" s="18">
        <f>-Assumptions!B30</f>
        <v>67552000000</v>
      </c>
    </row>
    <row r="13" spans="1:2" x14ac:dyDescent="0.25">
      <c r="A13" t="s">
        <v>72</v>
      </c>
      <c r="B13" s="18">
        <f>B11+B12</f>
        <v>3475049356072.192</v>
      </c>
    </row>
    <row r="14" spans="1:2" x14ac:dyDescent="0.25">
      <c r="A14" s="19" t="s">
        <v>73</v>
      </c>
      <c r="B14" s="24">
        <f>B13/Assumptions!B31</f>
        <v>284.1414027859519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574939488858.4608</v>
      </c>
    </row>
    <row r="18" spans="1:2" x14ac:dyDescent="0.25">
      <c r="A18" t="s">
        <v>68</v>
      </c>
      <c r="B18" s="18">
        <f>B17*Assumptions!B13</f>
        <v>11498789777169.217</v>
      </c>
    </row>
    <row r="19" spans="1:2" x14ac:dyDescent="0.25">
      <c r="A19" t="s">
        <v>69</v>
      </c>
      <c r="B19" s="18">
        <f>B18/(1+Assumptions!B26)^(10-0.5*Assumptions!B32)</f>
        <v>4800088702440.022</v>
      </c>
    </row>
    <row r="20" spans="1:2" x14ac:dyDescent="0.25">
      <c r="A20" t="s">
        <v>70</v>
      </c>
      <c r="B20" s="18">
        <f>Forecast!B17+B19</f>
        <v>5968320781345.318</v>
      </c>
    </row>
    <row r="21" spans="1:2" x14ac:dyDescent="0.25">
      <c r="A21" t="s">
        <v>71</v>
      </c>
      <c r="B21" s="18">
        <f>-Assumptions!B30</f>
        <v>67552000000</v>
      </c>
    </row>
    <row r="22" spans="1:2" x14ac:dyDescent="0.25">
      <c r="A22" t="s">
        <v>72</v>
      </c>
      <c r="B22" s="18">
        <f>B20+B21</f>
        <v>6035872781345.318</v>
      </c>
    </row>
    <row r="23" spans="1:2" x14ac:dyDescent="0.25">
      <c r="A23" s="19" t="s">
        <v>73</v>
      </c>
      <c r="B23" s="25">
        <f>B22/Assumptions!B31</f>
        <v>493.53007206421245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278.22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284.1414027859519</v>
      </c>
    </row>
    <row r="29" spans="1:2" x14ac:dyDescent="0.25">
      <c r="A29" s="19" t="s">
        <v>81</v>
      </c>
      <c r="B29" s="11">
        <f>B28/B26-1</f>
        <v>0.02128316722720114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0.07632</v>
      </c>
      <c r="B5" s="31">
        <v>378.6282487527633</v>
      </c>
      <c r="C5" s="31">
        <v>395.107947037999</v>
      </c>
      <c r="D5" s="31">
        <v>415.078640784226</v>
      </c>
      <c r="E5" s="31">
        <v>439.67083370290527</v>
      </c>
      <c r="F5" s="31">
        <v>470.56222394473343</v>
      </c>
    </row>
    <row r="6" spans="1:6" x14ac:dyDescent="0.25">
      <c r="A6" s="30">
        <v>0.08632</v>
      </c>
      <c r="B6" s="31">
        <v>316.82150872713544</v>
      </c>
      <c r="C6" s="31">
        <v>326.8054218388285</v>
      </c>
      <c r="D6" s="31">
        <v>338.6384060609291</v>
      </c>
      <c r="E6" s="31">
        <v>352.8129341678711</v>
      </c>
      <c r="F6" s="31">
        <v>370.0134012935713</v>
      </c>
    </row>
    <row r="7" spans="1:6" x14ac:dyDescent="0.25">
      <c r="A7" s="30">
        <v>0.09632</v>
      </c>
      <c r="B7" s="31">
        <v>270.72565488107114</v>
      </c>
      <c r="C7" s="31">
        <v>276.9092349817795</v>
      </c>
      <c r="D7" s="32">
        <v>284.13913619509646</v>
      </c>
      <c r="E7" s="31">
        <v>292.6520113661539</v>
      </c>
      <c r="F7" s="31">
        <v>302.76169952570996</v>
      </c>
    </row>
    <row r="8" spans="1:6" x14ac:dyDescent="0.25">
      <c r="A8" s="30">
        <v>0.10632</v>
      </c>
      <c r="B8" s="31">
        <v>235.1461051399644</v>
      </c>
      <c r="C8" s="31">
        <v>238.98956680862744</v>
      </c>
      <c r="D8" s="31">
        <v>243.45423684149313</v>
      </c>
      <c r="E8" s="31">
        <v>248.66220807743792</v>
      </c>
      <c r="F8" s="31">
        <v>254.76981139203914</v>
      </c>
    </row>
    <row r="9" spans="1:6" x14ac:dyDescent="0.25">
      <c r="A9" s="30">
        <v>0.11632</v>
      </c>
      <c r="B9" s="31">
        <v>206.9415887210627</v>
      </c>
      <c r="C9" s="31">
        <v>209.28927847470894</v>
      </c>
      <c r="D9" s="31">
        <v>212.01915516914733</v>
      </c>
      <c r="E9" s="31">
        <v>215.19763219770365</v>
      </c>
      <c r="F9" s="31">
        <v>218.90745679367555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402836000000</v>
      </c>
      <c r="C5" s="18">
        <v>350018000000</v>
      </c>
      <c r="D5" s="18">
        <v>307394000000</v>
      </c>
      <c r="E5" s="18">
        <v>282836000000</v>
      </c>
      <c r="F5" s="6" t="s">
        <v>91</v>
      </c>
    </row>
    <row r="6" spans="1:6" x14ac:dyDescent="0.25">
      <c r="A6" t="s">
        <v>51</v>
      </c>
      <c r="B6" s="18">
        <v>129039000000</v>
      </c>
      <c r="C6" s="18">
        <v>112390000000</v>
      </c>
      <c r="D6" s="18">
        <v>84293000000</v>
      </c>
      <c r="E6" s="18">
        <v>74842000000</v>
      </c>
      <c r="F6" s="6" t="s">
        <v>92</v>
      </c>
    </row>
    <row r="7" spans="1:6" x14ac:dyDescent="0.25">
      <c r="A7" t="s">
        <v>93</v>
      </c>
      <c r="B7" s="18">
        <v>21136000000</v>
      </c>
      <c r="C7" s="18">
        <v>15311000000</v>
      </c>
      <c r="D7" s="18">
        <v>11946000000</v>
      </c>
      <c r="E7" s="18">
        <v>13475000000</v>
      </c>
      <c r="F7" s="6" t="s">
        <v>94</v>
      </c>
    </row>
    <row r="8" spans="1:6" x14ac:dyDescent="0.25">
      <c r="A8" t="s">
        <v>95</v>
      </c>
      <c r="B8" s="18">
        <v>91447000000</v>
      </c>
      <c r="C8" s="18">
        <v>52535000000</v>
      </c>
      <c r="D8" s="18">
        <v>32251000000</v>
      </c>
      <c r="E8" s="18">
        <v>31485000000</v>
      </c>
      <c r="F8" s="6" t="s">
        <v>96</v>
      </c>
    </row>
    <row r="9" spans="1:6" x14ac:dyDescent="0.25">
      <c r="A9" t="s">
        <v>97</v>
      </c>
      <c r="B9" s="18">
        <v>-618000000</v>
      </c>
      <c r="C9" s="18">
        <v>8406000000</v>
      </c>
      <c r="D9" s="18">
        <v>3845000000</v>
      </c>
      <c r="E9" s="18">
        <v>2235000000</v>
      </c>
      <c r="F9" s="6" t="s">
        <v>98</v>
      </c>
    </row>
    <row r="10" spans="1:6" x14ac:dyDescent="0.25">
      <c r="A10" t="s">
        <v>99</v>
      </c>
      <c r="B10" s="18">
        <v>59291000000</v>
      </c>
      <c r="C10" s="18">
        <v>22574000000</v>
      </c>
      <c r="D10" s="18">
        <v>27121000000</v>
      </c>
      <c r="E10" s="18">
        <v>29679000000</v>
      </c>
      <c r="F10" s="6" t="s">
        <v>100</v>
      </c>
    </row>
    <row r="11" spans="1:6" x14ac:dyDescent="0.25">
      <c r="A11" t="s">
        <v>101</v>
      </c>
      <c r="B11" s="18">
        <v>126843000000</v>
      </c>
      <c r="C11" s="18">
        <v>95657000000</v>
      </c>
      <c r="D11" s="18">
        <v>110916000000</v>
      </c>
      <c r="E11" s="18">
        <v>113762000000</v>
      </c>
      <c r="F11" s="6" t="s">
        <v>102</v>
      </c>
    </row>
    <row r="12" spans="1:6" x14ac:dyDescent="0.25">
      <c r="A12" t="s">
        <v>34</v>
      </c>
      <c r="B12" s="34">
        <v>12230000000</v>
      </c>
      <c r="C12" s="34">
        <v>12447000000</v>
      </c>
      <c r="D12" s="34">
        <v>12722000000</v>
      </c>
      <c r="E12" s="34">
        <v>13159000000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